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guamliveuog-my.sharepoint.com/personal/burgosm_triton_uog_edu/Documents/MB/Standard enrollment reports/22FA/"/>
    </mc:Choice>
  </mc:AlternateContent>
  <xr:revisionPtr revIDLastSave="1986" documentId="13_ncr:1_{1D479219-1C7C-447D-B70F-C819E0E93F7F}" xr6:coauthVersionLast="47" xr6:coauthVersionMax="47" xr10:uidLastSave="{A6618B19-3177-4904-A2CC-6614E49DBB21}"/>
  <bookViews>
    <workbookView xWindow="-120" yWindow="-120" windowWidth="29040" windowHeight="15840" tabRatio="804" firstSheet="10" activeTab="18" xr2:uid="{00000000-000D-0000-FFFF-FFFF00000000}"/>
  </bookViews>
  <sheets>
    <sheet name="Table of Contents" sheetId="11" r:id="rId1"/>
    <sheet name="1-Res_NonRes" sheetId="2" r:id="rId2"/>
    <sheet name="2- Headcount &amp; CR" sheetId="3" r:id="rId3"/>
    <sheet name="3-Majors" sheetId="41" r:id="rId4"/>
    <sheet name="4-MajorsEthnic" sheetId="48" r:id="rId5"/>
    <sheet name="5-Majors by Track" sheetId="49" r:id="rId6"/>
    <sheet name="6-MajorsEthnic by Track" sheetId="68" r:id="rId7"/>
    <sheet name="7-Ethnic_Gender" sheetId="13" r:id="rId8"/>
    <sheet name="8-FTPT" sheetId="6" r:id="rId9"/>
    <sheet name="9-Prev_HS" sheetId="7" r:id="rId10"/>
    <sheet name="10-New Students" sheetId="21" r:id="rId11"/>
    <sheet name="11-Cr Hr PROD Summary" sheetId="51" r:id="rId12"/>
    <sheet name="12-Cr Hr PROD" sheetId="35" r:id="rId13"/>
    <sheet name="13-DoubleMajors" sheetId="38" r:id="rId14"/>
    <sheet name="14-DoubleMajorsEthnic" sheetId="69" r:id="rId15"/>
    <sheet name="15a-RetentionFTFR" sheetId="64" r:id="rId16"/>
    <sheet name="15b-RetentionFTFR" sheetId="65" r:id="rId17"/>
    <sheet name="16a-RetentionTransfer" sheetId="66" r:id="rId18"/>
    <sheet name="16b-RetentionTransfer" sheetId="67" r:id="rId19"/>
  </sheets>
  <definedNames>
    <definedName name="_xlnm.Print_Area" localSheetId="15">'15a-RetentionFTFR'!$A$1:$F$55</definedName>
    <definedName name="_xlnm.Print_Area" localSheetId="16">'15b-RetentionFTFR'!$A$1:$G$75</definedName>
    <definedName name="_xlnm.Print_Area" localSheetId="1">'1-Res_NonRes'!$A$1:$N$201</definedName>
    <definedName name="_xlnm.Print_Area" localSheetId="2">'2- Headcount &amp; CR'!$A$1:$Q$85</definedName>
    <definedName name="_xlnm.Print_Area" localSheetId="3">'3-Majors'!$A$1:$T$102</definedName>
    <definedName name="_xlnm.Print_Area" localSheetId="5">'5-Majors by Track'!$A$1:$U$151</definedName>
    <definedName name="_xlnm.Print_Area" localSheetId="8">'8-FTPT'!$A$1:$J$53</definedName>
    <definedName name="_xlnm.Print_Titles" localSheetId="11">'11-Cr Hr PROD Summary'!$7:$8</definedName>
    <definedName name="_xlnm.Print_Titles" localSheetId="12">'12-Cr Hr PROD'!$6:$8</definedName>
    <definedName name="_xlnm.Print_Titles" localSheetId="13">'13-DoubleMajors'!$6:$7</definedName>
    <definedName name="_xlnm.Print_Titles" localSheetId="14">'14-DoubleMajorsEthnic'!$6:$7</definedName>
    <definedName name="_xlnm.Print_Titles" localSheetId="3">'3-Majors'!$6:$7</definedName>
    <definedName name="_xlnm.Print_Titles" localSheetId="4">'4-MajorsEthnic'!$6:$7</definedName>
    <definedName name="_xlnm.Print_Titles" localSheetId="5">'5-Majors by Track'!$6:$7</definedName>
    <definedName name="_xlnm.Print_Titles" localSheetId="6">'6-MajorsEthnic by Track'!$6:$7</definedName>
    <definedName name="_xlnm.Print_Titles" localSheetId="9">'9-Prev_HS'!$5:$7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66" l="1"/>
  <c r="C22" i="66"/>
  <c r="E21" i="66"/>
  <c r="D44" i="66"/>
  <c r="C44" i="66"/>
  <c r="E43" i="66"/>
  <c r="E21" i="64"/>
  <c r="E45" i="64"/>
  <c r="K497" i="35"/>
  <c r="K498" i="35"/>
  <c r="K499" i="35"/>
  <c r="K500" i="35"/>
  <c r="K501" i="35"/>
  <c r="K502" i="35"/>
  <c r="K503" i="35"/>
  <c r="K504" i="35"/>
  <c r="K505" i="35"/>
  <c r="K506" i="35"/>
  <c r="K496" i="35"/>
  <c r="E14" i="21"/>
  <c r="E13" i="21"/>
  <c r="F13" i="21" s="1"/>
  <c r="E12" i="21"/>
  <c r="E87" i="2"/>
  <c r="N87" i="2" s="1"/>
  <c r="H87" i="2"/>
  <c r="K87" i="2"/>
  <c r="L87" i="2"/>
  <c r="M87" i="2"/>
  <c r="E88" i="2"/>
  <c r="N88" i="2" s="1"/>
  <c r="H88" i="2"/>
  <c r="K88" i="2"/>
  <c r="L88" i="2"/>
  <c r="M88" i="2"/>
  <c r="E89" i="2"/>
  <c r="N89" i="2" s="1"/>
  <c r="H89" i="2"/>
  <c r="K89" i="2"/>
  <c r="L89" i="2"/>
  <c r="M89" i="2"/>
  <c r="E90" i="2"/>
  <c r="H90" i="2"/>
  <c r="K90" i="2"/>
  <c r="L90" i="2"/>
  <c r="M90" i="2"/>
  <c r="N90" i="2"/>
  <c r="E91" i="2"/>
  <c r="N91" i="2" s="1"/>
  <c r="H91" i="2"/>
  <c r="K91" i="2"/>
  <c r="L91" i="2"/>
  <c r="M91" i="2"/>
  <c r="F51" i="67"/>
  <c r="F52" i="67"/>
  <c r="F44" i="67"/>
  <c r="F31" i="67"/>
  <c r="F20" i="67"/>
  <c r="E53" i="67"/>
  <c r="F38" i="67"/>
  <c r="E34" i="67"/>
  <c r="E26" i="67"/>
  <c r="E21" i="67"/>
  <c r="F11" i="67"/>
  <c r="F12" i="67"/>
  <c r="F13" i="67"/>
  <c r="F19" i="67"/>
  <c r="E31" i="66"/>
  <c r="E33" i="66"/>
  <c r="E34" i="66"/>
  <c r="E37" i="66"/>
  <c r="E39" i="66"/>
  <c r="E40" i="66"/>
  <c r="E41" i="66"/>
  <c r="E38" i="66"/>
  <c r="E36" i="66"/>
  <c r="E28" i="66"/>
  <c r="E29" i="66"/>
  <c r="E30" i="66"/>
  <c r="E32" i="66"/>
  <c r="E35" i="66"/>
  <c r="E19" i="66"/>
  <c r="E18" i="66"/>
  <c r="E15" i="66"/>
  <c r="E67" i="65"/>
  <c r="F62" i="65"/>
  <c r="F46" i="65"/>
  <c r="F28" i="65"/>
  <c r="F29" i="65"/>
  <c r="F30" i="65"/>
  <c r="F15" i="65"/>
  <c r="F16" i="65"/>
  <c r="F19" i="65"/>
  <c r="F31" i="65"/>
  <c r="F18" i="65"/>
  <c r="F17" i="65"/>
  <c r="F57" i="65"/>
  <c r="F51" i="65"/>
  <c r="F11" i="65"/>
  <c r="E33" i="64"/>
  <c r="E34" i="64"/>
  <c r="E35" i="64"/>
  <c r="E39" i="64"/>
  <c r="E40" i="64"/>
  <c r="E42" i="64"/>
  <c r="E43" i="64"/>
  <c r="E44" i="64"/>
  <c r="E31" i="64"/>
  <c r="E32" i="64"/>
  <c r="E47" i="64"/>
  <c r="E48" i="64"/>
  <c r="F47" i="67"/>
  <c r="E47" i="67"/>
  <c r="F41" i="67"/>
  <c r="E41" i="67"/>
  <c r="F36" i="67"/>
  <c r="E36" i="67"/>
  <c r="F28" i="67"/>
  <c r="E28" i="67"/>
  <c r="F23" i="67"/>
  <c r="E23" i="67"/>
  <c r="F16" i="67"/>
  <c r="E16" i="67"/>
  <c r="E24" i="66"/>
  <c r="D24" i="66"/>
  <c r="E13" i="66"/>
  <c r="D13" i="66"/>
  <c r="F61" i="65"/>
  <c r="E54" i="65"/>
  <c r="E61" i="65"/>
  <c r="F54" i="65"/>
  <c r="F49" i="65"/>
  <c r="E49" i="65"/>
  <c r="F40" i="65"/>
  <c r="E40" i="65"/>
  <c r="F35" i="65"/>
  <c r="E35" i="65"/>
  <c r="F23" i="65"/>
  <c r="E23" i="65"/>
  <c r="E25" i="64"/>
  <c r="D25" i="64"/>
  <c r="E13" i="64"/>
  <c r="D13" i="64"/>
  <c r="L22" i="69"/>
  <c r="L15" i="69"/>
  <c r="I22" i="69"/>
  <c r="I15" i="69"/>
  <c r="H43" i="69"/>
  <c r="E44" i="69"/>
  <c r="E43" i="69"/>
  <c r="E42" i="69"/>
  <c r="E35" i="69"/>
  <c r="E32" i="69"/>
  <c r="E31" i="69"/>
  <c r="E30" i="69"/>
  <c r="E24" i="69"/>
  <c r="E23" i="69"/>
  <c r="G22" i="69"/>
  <c r="E22" i="69"/>
  <c r="E21" i="69"/>
  <c r="E18" i="69"/>
  <c r="E17" i="69"/>
  <c r="E16" i="69"/>
  <c r="G15" i="69"/>
  <c r="E15" i="69"/>
  <c r="E14" i="69"/>
  <c r="E13" i="69"/>
  <c r="E12" i="69"/>
  <c r="E11" i="69"/>
  <c r="E10" i="69"/>
  <c r="E9" i="69"/>
  <c r="E8" i="69"/>
  <c r="N22" i="38"/>
  <c r="N15" i="38"/>
  <c r="I22" i="38"/>
  <c r="I15" i="38"/>
  <c r="G22" i="38"/>
  <c r="G15" i="38"/>
  <c r="E43" i="38"/>
  <c r="H635" i="35"/>
  <c r="H633" i="35"/>
  <c r="H631" i="35"/>
  <c r="G631" i="35"/>
  <c r="H450" i="35"/>
  <c r="G450" i="35"/>
  <c r="H131" i="35"/>
  <c r="H211" i="35"/>
  <c r="H113" i="35"/>
  <c r="G113" i="35"/>
  <c r="H128" i="35"/>
  <c r="G128" i="35"/>
  <c r="H629" i="35"/>
  <c r="G629" i="35"/>
  <c r="G630" i="35"/>
  <c r="H210" i="35"/>
  <c r="G210" i="35"/>
  <c r="G92" i="51"/>
  <c r="I92" i="51" s="1"/>
  <c r="F92" i="51"/>
  <c r="C92" i="51"/>
  <c r="H630" i="35"/>
  <c r="G65" i="51"/>
  <c r="F65" i="51"/>
  <c r="E11" i="21"/>
  <c r="F11" i="21"/>
  <c r="E20" i="21"/>
  <c r="E19" i="21"/>
  <c r="F19" i="21" s="1"/>
  <c r="E9" i="21"/>
  <c r="F9" i="21" s="1"/>
  <c r="E10" i="21"/>
  <c r="E8" i="21"/>
  <c r="D27" i="7"/>
  <c r="F76" i="68"/>
  <c r="G9" i="68"/>
  <c r="H9" i="68"/>
  <c r="G10" i="68"/>
  <c r="H10" i="68"/>
  <c r="G11" i="68"/>
  <c r="H11" i="68"/>
  <c r="G12" i="68"/>
  <c r="H12" i="68"/>
  <c r="G13" i="68"/>
  <c r="H13" i="68"/>
  <c r="G14" i="68"/>
  <c r="H14" i="68"/>
  <c r="G15" i="68"/>
  <c r="H15" i="68"/>
  <c r="G16" i="68"/>
  <c r="H16" i="68"/>
  <c r="G17" i="68"/>
  <c r="H17" i="68"/>
  <c r="G18" i="68"/>
  <c r="H18" i="68"/>
  <c r="G19" i="68"/>
  <c r="H19" i="68"/>
  <c r="G20" i="68"/>
  <c r="H20" i="68"/>
  <c r="G21" i="68"/>
  <c r="H21" i="68"/>
  <c r="G22" i="68"/>
  <c r="H22" i="68"/>
  <c r="G23" i="68"/>
  <c r="H23" i="68"/>
  <c r="G24" i="68"/>
  <c r="H24" i="68"/>
  <c r="G25" i="68"/>
  <c r="H25" i="68"/>
  <c r="G26" i="68"/>
  <c r="H26" i="68"/>
  <c r="G27" i="68"/>
  <c r="H27" i="68"/>
  <c r="G28" i="68"/>
  <c r="H28" i="68"/>
  <c r="G29" i="68"/>
  <c r="H29" i="68"/>
  <c r="G30" i="68"/>
  <c r="H30" i="68"/>
  <c r="G31" i="68"/>
  <c r="H31" i="68"/>
  <c r="G32" i="68"/>
  <c r="H32" i="68"/>
  <c r="H8" i="68"/>
  <c r="G8" i="68"/>
  <c r="R69" i="49"/>
  <c r="F140" i="49"/>
  <c r="F139" i="49"/>
  <c r="F91" i="49"/>
  <c r="F90" i="49"/>
  <c r="F89" i="49"/>
  <c r="F88" i="49"/>
  <c r="F87" i="49"/>
  <c r="F86" i="49"/>
  <c r="F85" i="49"/>
  <c r="F84" i="49"/>
  <c r="F83" i="49"/>
  <c r="F82" i="49"/>
  <c r="F81" i="49"/>
  <c r="F80" i="49"/>
  <c r="F73" i="49"/>
  <c r="F74" i="49"/>
  <c r="S54" i="48"/>
  <c r="Q54" i="48"/>
  <c r="P54" i="48"/>
  <c r="O54" i="48"/>
  <c r="M54" i="48"/>
  <c r="L54" i="48"/>
  <c r="K93" i="48"/>
  <c r="J93" i="48"/>
  <c r="K92" i="48"/>
  <c r="J92" i="48"/>
  <c r="K91" i="48"/>
  <c r="J91" i="48"/>
  <c r="K90" i="48"/>
  <c r="J90" i="48"/>
  <c r="K89" i="48"/>
  <c r="J89" i="48"/>
  <c r="K82" i="48"/>
  <c r="J82" i="48"/>
  <c r="K81" i="48"/>
  <c r="J81" i="48"/>
  <c r="K80" i="48"/>
  <c r="J80" i="48"/>
  <c r="K79" i="48"/>
  <c r="J79" i="48"/>
  <c r="K78" i="48"/>
  <c r="J78" i="48"/>
  <c r="K77" i="48"/>
  <c r="J77" i="48"/>
  <c r="K76" i="48"/>
  <c r="J76" i="48"/>
  <c r="K72" i="48"/>
  <c r="J72" i="48"/>
  <c r="K71" i="48"/>
  <c r="J71" i="48"/>
  <c r="K70" i="48"/>
  <c r="J70" i="48"/>
  <c r="K69" i="48"/>
  <c r="J69" i="48"/>
  <c r="K65" i="48"/>
  <c r="J65" i="48"/>
  <c r="K61" i="48"/>
  <c r="J61" i="48"/>
  <c r="K60" i="48"/>
  <c r="J60" i="48"/>
  <c r="K58" i="48"/>
  <c r="J58" i="48"/>
  <c r="K57" i="48"/>
  <c r="J57" i="48"/>
  <c r="K56" i="48"/>
  <c r="J56" i="48"/>
  <c r="K55" i="48"/>
  <c r="J55" i="48"/>
  <c r="K53" i="48"/>
  <c r="J53" i="48"/>
  <c r="K48" i="48"/>
  <c r="J48" i="48"/>
  <c r="K47" i="48"/>
  <c r="J47" i="48"/>
  <c r="K46" i="48"/>
  <c r="J46" i="48"/>
  <c r="K42" i="48"/>
  <c r="J42" i="48"/>
  <c r="K41" i="48"/>
  <c r="J41" i="48"/>
  <c r="K40" i="48"/>
  <c r="J40" i="48"/>
  <c r="K38" i="48"/>
  <c r="J38" i="48"/>
  <c r="K37" i="48"/>
  <c r="J37" i="48"/>
  <c r="K36" i="48"/>
  <c r="J36" i="48"/>
  <c r="K35" i="48"/>
  <c r="J35" i="48"/>
  <c r="K34" i="48"/>
  <c r="J34" i="48"/>
  <c r="K33" i="48"/>
  <c r="J33" i="48"/>
  <c r="K32" i="48"/>
  <c r="J32" i="48"/>
  <c r="K31" i="48"/>
  <c r="J31" i="48"/>
  <c r="K30" i="48"/>
  <c r="J30" i="48"/>
  <c r="K25" i="48"/>
  <c r="J25" i="48"/>
  <c r="K24" i="48"/>
  <c r="J24" i="48"/>
  <c r="K23" i="48"/>
  <c r="J23" i="48"/>
  <c r="J9" i="48"/>
  <c r="K9" i="48"/>
  <c r="J10" i="48"/>
  <c r="K10" i="48"/>
  <c r="J11" i="48"/>
  <c r="K11" i="48"/>
  <c r="J12" i="48"/>
  <c r="K12" i="48"/>
  <c r="J13" i="48"/>
  <c r="K13" i="48"/>
  <c r="J14" i="48"/>
  <c r="K14" i="48"/>
  <c r="J15" i="48"/>
  <c r="K15" i="48"/>
  <c r="J16" i="48"/>
  <c r="K16" i="48"/>
  <c r="J17" i="48"/>
  <c r="K17" i="48"/>
  <c r="J18" i="48"/>
  <c r="K18" i="48"/>
  <c r="J19" i="48"/>
  <c r="K19" i="48"/>
  <c r="J20" i="48"/>
  <c r="K20" i="48"/>
  <c r="K8" i="48"/>
  <c r="J8" i="48"/>
  <c r="G93" i="48"/>
  <c r="F93" i="48"/>
  <c r="G92" i="48"/>
  <c r="F92" i="48"/>
  <c r="G91" i="48"/>
  <c r="F91" i="48"/>
  <c r="G90" i="48"/>
  <c r="F90" i="48"/>
  <c r="G89" i="48"/>
  <c r="F89" i="48"/>
  <c r="G82" i="48"/>
  <c r="F82" i="48"/>
  <c r="G81" i="48"/>
  <c r="F81" i="48"/>
  <c r="G80" i="48"/>
  <c r="F80" i="48"/>
  <c r="G79" i="48"/>
  <c r="F79" i="48"/>
  <c r="G78" i="48"/>
  <c r="F78" i="48"/>
  <c r="G77" i="48"/>
  <c r="F77" i="48"/>
  <c r="G76" i="48"/>
  <c r="F76" i="48"/>
  <c r="G72" i="48"/>
  <c r="F72" i="48"/>
  <c r="G71" i="48"/>
  <c r="F71" i="48"/>
  <c r="G70" i="48"/>
  <c r="F70" i="48"/>
  <c r="G69" i="48"/>
  <c r="F69" i="48"/>
  <c r="G65" i="48"/>
  <c r="F65" i="48"/>
  <c r="G61" i="48"/>
  <c r="F61" i="48"/>
  <c r="G60" i="48"/>
  <c r="F60" i="48"/>
  <c r="G58" i="48"/>
  <c r="F58" i="48"/>
  <c r="G57" i="48"/>
  <c r="F57" i="48"/>
  <c r="G56" i="48"/>
  <c r="F56" i="48"/>
  <c r="G55" i="48"/>
  <c r="F55" i="48"/>
  <c r="G53" i="48"/>
  <c r="F53" i="48"/>
  <c r="G48" i="48"/>
  <c r="F48" i="48"/>
  <c r="G47" i="48"/>
  <c r="F47" i="48"/>
  <c r="E47" i="48"/>
  <c r="G46" i="48"/>
  <c r="F46" i="48"/>
  <c r="G42" i="48"/>
  <c r="F42" i="48"/>
  <c r="G41" i="48"/>
  <c r="F41" i="48"/>
  <c r="G40" i="48"/>
  <c r="F40" i="48"/>
  <c r="G38" i="48"/>
  <c r="F38" i="48"/>
  <c r="G37" i="48"/>
  <c r="F37" i="48"/>
  <c r="G36" i="48"/>
  <c r="F36" i="48"/>
  <c r="G35" i="48"/>
  <c r="F35" i="48"/>
  <c r="G34" i="48"/>
  <c r="F34" i="48"/>
  <c r="G33" i="48"/>
  <c r="F33" i="48"/>
  <c r="G32" i="48"/>
  <c r="F32" i="48"/>
  <c r="G31" i="48"/>
  <c r="F31" i="48"/>
  <c r="G30" i="48"/>
  <c r="F30" i="48"/>
  <c r="F24" i="48"/>
  <c r="G24" i="48"/>
  <c r="F25" i="48"/>
  <c r="G25" i="48"/>
  <c r="G23" i="48"/>
  <c r="F23" i="48"/>
  <c r="F9" i="48"/>
  <c r="G9" i="48"/>
  <c r="F10" i="48"/>
  <c r="G10" i="48"/>
  <c r="F11" i="48"/>
  <c r="G11" i="48"/>
  <c r="F12" i="48"/>
  <c r="G12" i="48"/>
  <c r="F13" i="48"/>
  <c r="G13" i="48"/>
  <c r="F14" i="48"/>
  <c r="G14" i="48"/>
  <c r="F15" i="48"/>
  <c r="G15" i="48"/>
  <c r="F16" i="48"/>
  <c r="G16" i="48"/>
  <c r="F17" i="48"/>
  <c r="G17" i="48"/>
  <c r="F18" i="48"/>
  <c r="G18" i="48"/>
  <c r="F19" i="48"/>
  <c r="G19" i="48"/>
  <c r="F20" i="48"/>
  <c r="G20" i="48"/>
  <c r="G8" i="48"/>
  <c r="F8" i="48"/>
  <c r="O54" i="41"/>
  <c r="N54" i="41"/>
  <c r="M54" i="41"/>
  <c r="L54" i="41"/>
  <c r="K54" i="41"/>
  <c r="K54" i="48"/>
  <c r="J54" i="41"/>
  <c r="J54" i="48"/>
  <c r="E57" i="41"/>
  <c r="G54" i="41"/>
  <c r="G54" i="48"/>
  <c r="F54" i="41"/>
  <c r="F54" i="48"/>
  <c r="E48" i="41"/>
  <c r="E57" i="48"/>
  <c r="E48" i="48"/>
  <c r="E11" i="41"/>
  <c r="E12" i="41"/>
  <c r="E13" i="41"/>
  <c r="E14" i="41"/>
  <c r="E15" i="41"/>
  <c r="E16" i="41"/>
  <c r="E17" i="41"/>
  <c r="E18" i="41"/>
  <c r="E19" i="41"/>
  <c r="E20" i="41"/>
  <c r="E10" i="41"/>
  <c r="E9" i="41"/>
  <c r="E8" i="41"/>
  <c r="M114" i="2"/>
  <c r="L114" i="2"/>
  <c r="K114" i="2"/>
  <c r="H114" i="2"/>
  <c r="E114" i="2"/>
  <c r="N114" i="2"/>
  <c r="M13" i="2"/>
  <c r="L13" i="2"/>
  <c r="K13" i="2"/>
  <c r="H13" i="2"/>
  <c r="E13" i="2"/>
  <c r="J36" i="3"/>
  <c r="K36" i="3"/>
  <c r="I36" i="3"/>
  <c r="G36" i="3"/>
  <c r="H36" i="3"/>
  <c r="F36" i="3"/>
  <c r="D36" i="3"/>
  <c r="N36" i="3"/>
  <c r="O36" i="3"/>
  <c r="C36" i="3"/>
  <c r="L36" i="3"/>
  <c r="M36" i="3"/>
  <c r="P62" i="3"/>
  <c r="Q62" i="3"/>
  <c r="O62" i="3"/>
  <c r="N62" i="3"/>
  <c r="M62" i="3"/>
  <c r="L62" i="3"/>
  <c r="J62" i="3"/>
  <c r="K62" i="3"/>
  <c r="I62" i="3"/>
  <c r="G62" i="3"/>
  <c r="H62" i="3"/>
  <c r="F62" i="3"/>
  <c r="E62" i="3"/>
  <c r="D62" i="3"/>
  <c r="C62" i="3"/>
  <c r="J10" i="3"/>
  <c r="K10" i="3"/>
  <c r="I10" i="3"/>
  <c r="G10" i="3"/>
  <c r="H10" i="3"/>
  <c r="F10" i="3"/>
  <c r="D10" i="3"/>
  <c r="C10" i="3"/>
  <c r="J11" i="3"/>
  <c r="K11" i="3"/>
  <c r="I11" i="3"/>
  <c r="G11" i="3"/>
  <c r="H11" i="3"/>
  <c r="F11" i="3"/>
  <c r="D11" i="3"/>
  <c r="C11" i="3"/>
  <c r="M171" i="2"/>
  <c r="L171" i="2"/>
  <c r="K171" i="2"/>
  <c r="H171" i="2"/>
  <c r="E171" i="2"/>
  <c r="M70" i="2"/>
  <c r="L70" i="2"/>
  <c r="K70" i="2"/>
  <c r="H70" i="2"/>
  <c r="E70" i="2"/>
  <c r="E59" i="65"/>
  <c r="F65" i="65"/>
  <c r="F63" i="65"/>
  <c r="F56" i="65"/>
  <c r="F55" i="65"/>
  <c r="E52" i="65"/>
  <c r="C49" i="64"/>
  <c r="N13" i="2"/>
  <c r="E36" i="3"/>
  <c r="P36" i="3"/>
  <c r="Q36" i="3"/>
  <c r="N10" i="3"/>
  <c r="L11" i="3"/>
  <c r="N11" i="3"/>
  <c r="L10" i="3"/>
  <c r="E10" i="3"/>
  <c r="P10" i="3"/>
  <c r="E11" i="3"/>
  <c r="P11" i="3"/>
  <c r="N171" i="2"/>
  <c r="N70" i="2"/>
  <c r="D49" i="64"/>
  <c r="D49" i="13"/>
  <c r="O10" i="3"/>
  <c r="Q10" i="3"/>
  <c r="M10" i="3"/>
  <c r="H388" i="35"/>
  <c r="G388" i="35"/>
  <c r="G82" i="51"/>
  <c r="F82" i="51"/>
  <c r="H228" i="35"/>
  <c r="G228" i="35"/>
  <c r="G245" i="35"/>
  <c r="H245" i="35"/>
  <c r="H155" i="35"/>
  <c r="G155" i="35"/>
  <c r="G163" i="35"/>
  <c r="G119" i="35"/>
  <c r="H119" i="35"/>
  <c r="H125" i="35"/>
  <c r="G125" i="35"/>
  <c r="H98" i="35"/>
  <c r="G98" i="35"/>
  <c r="H108" i="35"/>
  <c r="G108" i="35"/>
  <c r="C90" i="51"/>
  <c r="C84" i="51"/>
  <c r="C82" i="51"/>
  <c r="C49" i="51"/>
  <c r="C53" i="51"/>
  <c r="C58" i="51"/>
  <c r="C69" i="51"/>
  <c r="C72" i="51"/>
  <c r="C76" i="51"/>
  <c r="G58" i="51"/>
  <c r="F58" i="51"/>
  <c r="G33" i="51"/>
  <c r="G95" i="51" s="1"/>
  <c r="F33" i="51"/>
  <c r="F41" i="51" s="1"/>
  <c r="C40" i="51"/>
  <c r="C33" i="51"/>
  <c r="E42" i="66"/>
  <c r="E27" i="66"/>
  <c r="E26" i="66"/>
  <c r="E20" i="66"/>
  <c r="E17" i="66"/>
  <c r="E16" i="66"/>
  <c r="F32" i="67"/>
  <c r="D11" i="66"/>
  <c r="E10" i="66"/>
  <c r="E9" i="66"/>
  <c r="F45" i="65"/>
  <c r="F44" i="65"/>
  <c r="F43" i="65"/>
  <c r="F37" i="65"/>
  <c r="E38" i="65"/>
  <c r="F27" i="65"/>
  <c r="F26" i="65"/>
  <c r="F25" i="65"/>
  <c r="F14" i="65"/>
  <c r="F13" i="65"/>
  <c r="F12" i="65"/>
  <c r="E46" i="64"/>
  <c r="E41" i="64"/>
  <c r="E38" i="64"/>
  <c r="E37" i="64"/>
  <c r="E36" i="64"/>
  <c r="E30" i="64"/>
  <c r="E29" i="64"/>
  <c r="E28" i="64"/>
  <c r="E27" i="64"/>
  <c r="D23" i="64"/>
  <c r="E22" i="64"/>
  <c r="E20" i="64"/>
  <c r="E19" i="64"/>
  <c r="E18" i="64"/>
  <c r="E17" i="64"/>
  <c r="E16" i="64"/>
  <c r="E15" i="64"/>
  <c r="D11" i="64"/>
  <c r="E10" i="64"/>
  <c r="E9" i="64"/>
  <c r="R45" i="69"/>
  <c r="Q45" i="69"/>
  <c r="P45" i="69"/>
  <c r="O45" i="69"/>
  <c r="R41" i="69"/>
  <c r="Q41" i="69"/>
  <c r="P41" i="69"/>
  <c r="O41" i="69"/>
  <c r="R36" i="69"/>
  <c r="Q36" i="69"/>
  <c r="P36" i="69"/>
  <c r="O36" i="69"/>
  <c r="R34" i="69"/>
  <c r="Q34" i="69"/>
  <c r="P34" i="69"/>
  <c r="O34" i="69"/>
  <c r="R29" i="69"/>
  <c r="Q29" i="69"/>
  <c r="P29" i="69"/>
  <c r="O29" i="69"/>
  <c r="R20" i="69"/>
  <c r="Q20" i="69"/>
  <c r="P20" i="69"/>
  <c r="O20" i="69"/>
  <c r="N45" i="69"/>
  <c r="M45" i="69"/>
  <c r="L45" i="69"/>
  <c r="K45" i="69"/>
  <c r="J45" i="69"/>
  <c r="I45" i="69"/>
  <c r="G45" i="69"/>
  <c r="F45" i="69"/>
  <c r="N41" i="69"/>
  <c r="M41" i="69"/>
  <c r="L41" i="69"/>
  <c r="K41" i="69"/>
  <c r="J41" i="69"/>
  <c r="I41" i="69"/>
  <c r="G41" i="69"/>
  <c r="F41" i="69"/>
  <c r="E37" i="69"/>
  <c r="E41" i="69"/>
  <c r="N36" i="69"/>
  <c r="M36" i="69"/>
  <c r="L36" i="69"/>
  <c r="K36" i="69"/>
  <c r="J36" i="69"/>
  <c r="I36" i="69"/>
  <c r="G36" i="69"/>
  <c r="F36" i="69"/>
  <c r="E36" i="69"/>
  <c r="N34" i="69"/>
  <c r="M34" i="69"/>
  <c r="L34" i="69"/>
  <c r="K34" i="69"/>
  <c r="J34" i="69"/>
  <c r="I34" i="69"/>
  <c r="G34" i="69"/>
  <c r="F34" i="69"/>
  <c r="N29" i="69"/>
  <c r="M29" i="69"/>
  <c r="L29" i="69"/>
  <c r="K29" i="69"/>
  <c r="J29" i="69"/>
  <c r="I29" i="69"/>
  <c r="G29" i="69"/>
  <c r="F29" i="69"/>
  <c r="E29" i="69"/>
  <c r="N20" i="69"/>
  <c r="M20" i="69"/>
  <c r="L20" i="69"/>
  <c r="K20" i="69"/>
  <c r="J20" i="69"/>
  <c r="I20" i="69"/>
  <c r="G20" i="69"/>
  <c r="F20" i="69"/>
  <c r="E20" i="69"/>
  <c r="E44" i="38"/>
  <c r="E42" i="38"/>
  <c r="E37" i="38"/>
  <c r="E35" i="38"/>
  <c r="E32" i="38"/>
  <c r="E31" i="38"/>
  <c r="E30" i="38"/>
  <c r="E24" i="38"/>
  <c r="E23" i="38"/>
  <c r="E22" i="38"/>
  <c r="E21" i="38"/>
  <c r="E18" i="38"/>
  <c r="E17" i="38"/>
  <c r="E16" i="38"/>
  <c r="E15" i="38"/>
  <c r="E14" i="38"/>
  <c r="E13" i="38"/>
  <c r="E12" i="38"/>
  <c r="E11" i="38"/>
  <c r="E10" i="38"/>
  <c r="E9" i="38"/>
  <c r="E8" i="38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C10" i="13"/>
  <c r="M132" i="68"/>
  <c r="N132" i="68"/>
  <c r="O132" i="68"/>
  <c r="P132" i="68"/>
  <c r="Q132" i="68"/>
  <c r="R132" i="68"/>
  <c r="S132" i="68"/>
  <c r="T132" i="68"/>
  <c r="U132" i="68"/>
  <c r="M144" i="68"/>
  <c r="M145" i="68"/>
  <c r="N144" i="68"/>
  <c r="N145" i="68"/>
  <c r="O144" i="68"/>
  <c r="O145" i="68"/>
  <c r="P144" i="68"/>
  <c r="P145" i="68"/>
  <c r="Q144" i="68"/>
  <c r="Q145" i="68"/>
  <c r="R144" i="68"/>
  <c r="R145" i="68"/>
  <c r="S144" i="68"/>
  <c r="T144" i="68"/>
  <c r="U144" i="68"/>
  <c r="U145" i="68"/>
  <c r="Q64" i="49"/>
  <c r="L144" i="68"/>
  <c r="K144" i="68"/>
  <c r="K145" i="68"/>
  <c r="H144" i="68"/>
  <c r="H145" i="68"/>
  <c r="G144" i="68"/>
  <c r="G145" i="68"/>
  <c r="F141" i="68"/>
  <c r="F140" i="68"/>
  <c r="F139" i="68"/>
  <c r="F138" i="68"/>
  <c r="F137" i="68"/>
  <c r="F136" i="68"/>
  <c r="F135" i="68"/>
  <c r="L132" i="68"/>
  <c r="K132" i="68"/>
  <c r="H132" i="68"/>
  <c r="G132" i="68"/>
  <c r="F129" i="68"/>
  <c r="F128" i="68"/>
  <c r="F127" i="68"/>
  <c r="F126" i="68"/>
  <c r="F125" i="68"/>
  <c r="F124" i="68"/>
  <c r="F123" i="68"/>
  <c r="U122" i="68"/>
  <c r="T122" i="68"/>
  <c r="S122" i="68"/>
  <c r="R122" i="68"/>
  <c r="Q122" i="68"/>
  <c r="P122" i="68"/>
  <c r="O122" i="68"/>
  <c r="N122" i="68"/>
  <c r="M122" i="68"/>
  <c r="L122" i="68"/>
  <c r="K122" i="68"/>
  <c r="H122" i="68"/>
  <c r="G122" i="68"/>
  <c r="F118" i="68"/>
  <c r="F117" i="68"/>
  <c r="F116" i="68"/>
  <c r="F115" i="68"/>
  <c r="F114" i="68"/>
  <c r="F113" i="68"/>
  <c r="F112" i="68"/>
  <c r="F111" i="68"/>
  <c r="F110" i="68"/>
  <c r="F109" i="68"/>
  <c r="F108" i="68"/>
  <c r="U104" i="68"/>
  <c r="U105" i="68"/>
  <c r="T104" i="68"/>
  <c r="T105" i="68"/>
  <c r="S104" i="68"/>
  <c r="S105" i="68"/>
  <c r="R104" i="68"/>
  <c r="R105" i="68"/>
  <c r="Q104" i="68"/>
  <c r="Q105" i="68"/>
  <c r="P104" i="68"/>
  <c r="P105" i="68"/>
  <c r="O104" i="68"/>
  <c r="O105" i="68"/>
  <c r="N104" i="68"/>
  <c r="N105" i="68"/>
  <c r="M104" i="68"/>
  <c r="M105" i="68"/>
  <c r="L104" i="68"/>
  <c r="L105" i="68"/>
  <c r="K104" i="68"/>
  <c r="K105" i="68"/>
  <c r="H104" i="68"/>
  <c r="H105" i="68"/>
  <c r="G104" i="68"/>
  <c r="G105" i="68"/>
  <c r="F102" i="68"/>
  <c r="F104" i="68"/>
  <c r="F105" i="68"/>
  <c r="U99" i="68"/>
  <c r="T99" i="68"/>
  <c r="S99" i="68"/>
  <c r="R99" i="68"/>
  <c r="Q99" i="68"/>
  <c r="P99" i="68"/>
  <c r="O99" i="68"/>
  <c r="N99" i="68"/>
  <c r="M99" i="68"/>
  <c r="L99" i="68"/>
  <c r="K99" i="68"/>
  <c r="H99" i="68"/>
  <c r="G99" i="68"/>
  <c r="F98" i="68"/>
  <c r="F97" i="68"/>
  <c r="U95" i="68"/>
  <c r="T95" i="68"/>
  <c r="S95" i="68"/>
  <c r="R95" i="68"/>
  <c r="Q95" i="68"/>
  <c r="P95" i="68"/>
  <c r="O95" i="68"/>
  <c r="N95" i="68"/>
  <c r="M95" i="68"/>
  <c r="L95" i="68"/>
  <c r="K95" i="68"/>
  <c r="H95" i="68"/>
  <c r="G95" i="68"/>
  <c r="F93" i="68"/>
  <c r="F92" i="68"/>
  <c r="F91" i="68"/>
  <c r="F90" i="68"/>
  <c r="F89" i="68"/>
  <c r="F88" i="68"/>
  <c r="F87" i="68"/>
  <c r="F86" i="68"/>
  <c r="F85" i="68"/>
  <c r="F84" i="68"/>
  <c r="F83" i="68"/>
  <c r="F82" i="68"/>
  <c r="F81" i="68"/>
  <c r="U78" i="68"/>
  <c r="U79" i="68"/>
  <c r="T78" i="68"/>
  <c r="T79" i="68"/>
  <c r="S78" i="68"/>
  <c r="S79" i="68"/>
  <c r="R78" i="68"/>
  <c r="R79" i="68"/>
  <c r="Q78" i="68"/>
  <c r="Q79" i="68"/>
  <c r="P78" i="68"/>
  <c r="P79" i="68"/>
  <c r="O78" i="68"/>
  <c r="O79" i="68"/>
  <c r="N78" i="68"/>
  <c r="N79" i="68"/>
  <c r="M78" i="68"/>
  <c r="M79" i="68"/>
  <c r="L78" i="68"/>
  <c r="L79" i="68"/>
  <c r="K78" i="68"/>
  <c r="K79" i="68"/>
  <c r="H78" i="68"/>
  <c r="H79" i="68"/>
  <c r="G78" i="68"/>
  <c r="G79" i="68"/>
  <c r="F75" i="68"/>
  <c r="F74" i="68"/>
  <c r="U71" i="68"/>
  <c r="T71" i="68"/>
  <c r="S71" i="68"/>
  <c r="R71" i="68"/>
  <c r="Q71" i="68"/>
  <c r="P71" i="68"/>
  <c r="O71" i="68"/>
  <c r="N71" i="68"/>
  <c r="M71" i="68"/>
  <c r="L71" i="68"/>
  <c r="K71" i="68"/>
  <c r="H71" i="68"/>
  <c r="G71" i="68"/>
  <c r="F70" i="68"/>
  <c r="F69" i="68"/>
  <c r="F68" i="68"/>
  <c r="U66" i="68"/>
  <c r="T66" i="68"/>
  <c r="T72" i="68"/>
  <c r="S66" i="68"/>
  <c r="R66" i="68"/>
  <c r="R72" i="68"/>
  <c r="Q66" i="68"/>
  <c r="P66" i="68"/>
  <c r="P72" i="68"/>
  <c r="O66" i="68"/>
  <c r="N66" i="68"/>
  <c r="M66" i="68"/>
  <c r="L66" i="68"/>
  <c r="K66" i="68"/>
  <c r="H66" i="68"/>
  <c r="H72" i="68"/>
  <c r="G66" i="68"/>
  <c r="G72" i="68"/>
  <c r="F61" i="68"/>
  <c r="F60" i="68"/>
  <c r="F59" i="68"/>
  <c r="F58" i="68"/>
  <c r="F57" i="68"/>
  <c r="F56" i="68"/>
  <c r="F55" i="68"/>
  <c r="F54" i="68"/>
  <c r="F53" i="68"/>
  <c r="F52" i="68"/>
  <c r="F51" i="68"/>
  <c r="F50" i="68"/>
  <c r="F49" i="68"/>
  <c r="F48" i="68"/>
  <c r="F47" i="68"/>
  <c r="F46" i="68"/>
  <c r="F45" i="68"/>
  <c r="U42" i="68"/>
  <c r="T42" i="68"/>
  <c r="S42" i="68"/>
  <c r="R42" i="68"/>
  <c r="Q42" i="68"/>
  <c r="P42" i="68"/>
  <c r="O42" i="68"/>
  <c r="N42" i="68"/>
  <c r="M42" i="68"/>
  <c r="L42" i="68"/>
  <c r="K42" i="68"/>
  <c r="H42" i="68"/>
  <c r="G42" i="68"/>
  <c r="F39" i="68"/>
  <c r="F38" i="68"/>
  <c r="F37" i="68"/>
  <c r="F36" i="68"/>
  <c r="U35" i="68"/>
  <c r="T35" i="68"/>
  <c r="S35" i="68"/>
  <c r="R35" i="68"/>
  <c r="Q35" i="68"/>
  <c r="P35" i="68"/>
  <c r="O35" i="68"/>
  <c r="N35" i="68"/>
  <c r="M35" i="68"/>
  <c r="L35" i="68"/>
  <c r="K35" i="68"/>
  <c r="H35" i="68"/>
  <c r="G35" i="68"/>
  <c r="F32" i="68"/>
  <c r="F31" i="68"/>
  <c r="F30" i="68"/>
  <c r="F29" i="68"/>
  <c r="F28" i="68"/>
  <c r="F27" i="68"/>
  <c r="F26" i="68"/>
  <c r="F25" i="68"/>
  <c r="F24" i="68"/>
  <c r="F23" i="68"/>
  <c r="F22" i="68"/>
  <c r="F21" i="68"/>
  <c r="F20" i="68"/>
  <c r="F19" i="68"/>
  <c r="F18" i="68"/>
  <c r="F17" i="68"/>
  <c r="F16" i="68"/>
  <c r="F15" i="68"/>
  <c r="F14" i="68"/>
  <c r="F13" i="68"/>
  <c r="F12" i="68"/>
  <c r="F11" i="68"/>
  <c r="F10" i="68"/>
  <c r="F9" i="68"/>
  <c r="F8" i="68"/>
  <c r="K34" i="49"/>
  <c r="F125" i="49"/>
  <c r="F111" i="49"/>
  <c r="F115" i="49"/>
  <c r="G121" i="49"/>
  <c r="H121" i="49"/>
  <c r="F97" i="49"/>
  <c r="F116" i="49"/>
  <c r="F30" i="49"/>
  <c r="F11" i="49"/>
  <c r="F10" i="49"/>
  <c r="F14" i="49"/>
  <c r="F138" i="49"/>
  <c r="F137" i="49"/>
  <c r="F136" i="49"/>
  <c r="F135" i="49"/>
  <c r="F134" i="49"/>
  <c r="F128" i="49"/>
  <c r="F127" i="49"/>
  <c r="F126" i="49"/>
  <c r="F124" i="49"/>
  <c r="F123" i="49"/>
  <c r="F122" i="49"/>
  <c r="F117" i="49"/>
  <c r="F114" i="49"/>
  <c r="F113" i="49"/>
  <c r="F112" i="49"/>
  <c r="F110" i="49"/>
  <c r="F109" i="49"/>
  <c r="F108" i="49"/>
  <c r="F107" i="49"/>
  <c r="F101" i="49"/>
  <c r="F96" i="49"/>
  <c r="F79" i="49"/>
  <c r="F72" i="49"/>
  <c r="F68" i="49"/>
  <c r="F67" i="49"/>
  <c r="F66" i="49"/>
  <c r="F60" i="49"/>
  <c r="F59" i="49"/>
  <c r="F58" i="49"/>
  <c r="F57" i="49"/>
  <c r="F56" i="49"/>
  <c r="F55" i="49"/>
  <c r="F54" i="49"/>
  <c r="F53" i="49"/>
  <c r="F52" i="49"/>
  <c r="F51" i="49"/>
  <c r="F50" i="49"/>
  <c r="F49" i="49"/>
  <c r="F48" i="49"/>
  <c r="F47" i="49"/>
  <c r="F46" i="49"/>
  <c r="F45" i="49"/>
  <c r="F44" i="49"/>
  <c r="F38" i="49"/>
  <c r="F37" i="49"/>
  <c r="F36" i="49"/>
  <c r="F35" i="49"/>
  <c r="F32" i="49"/>
  <c r="F31" i="49"/>
  <c r="F29" i="49"/>
  <c r="F28" i="49"/>
  <c r="F27" i="49"/>
  <c r="F26" i="49"/>
  <c r="F25" i="49"/>
  <c r="F24" i="49"/>
  <c r="F23" i="49"/>
  <c r="F22" i="49"/>
  <c r="F21" i="49"/>
  <c r="F20" i="49"/>
  <c r="F19" i="49"/>
  <c r="F18" i="49"/>
  <c r="F17" i="49"/>
  <c r="F16" i="49"/>
  <c r="F15" i="49"/>
  <c r="F13" i="49"/>
  <c r="F12" i="49"/>
  <c r="F9" i="49"/>
  <c r="F8" i="49"/>
  <c r="T59" i="48"/>
  <c r="T94" i="48"/>
  <c r="T86" i="48"/>
  <c r="T75" i="48"/>
  <c r="T66" i="48"/>
  <c r="T67" i="48"/>
  <c r="T62" i="48"/>
  <c r="T50" i="48"/>
  <c r="T51" i="48"/>
  <c r="T43" i="48"/>
  <c r="T39" i="48"/>
  <c r="T27" i="48"/>
  <c r="T22" i="48"/>
  <c r="E54" i="48"/>
  <c r="E79" i="48"/>
  <c r="E61" i="48"/>
  <c r="E42" i="48"/>
  <c r="E41" i="48"/>
  <c r="E40" i="48"/>
  <c r="E38" i="48"/>
  <c r="E92" i="48"/>
  <c r="E37" i="48"/>
  <c r="E36" i="48"/>
  <c r="E35" i="48"/>
  <c r="E34" i="48"/>
  <c r="E33" i="48"/>
  <c r="E32" i="48"/>
  <c r="E31" i="48"/>
  <c r="E30" i="48"/>
  <c r="E46" i="48"/>
  <c r="E53" i="48"/>
  <c r="E56" i="48"/>
  <c r="E55" i="48"/>
  <c r="E58" i="48"/>
  <c r="E60" i="48"/>
  <c r="E65" i="48"/>
  <c r="E72" i="48"/>
  <c r="E71" i="48"/>
  <c r="E70" i="48"/>
  <c r="E69" i="48"/>
  <c r="E82" i="48"/>
  <c r="E81" i="48"/>
  <c r="E80" i="48"/>
  <c r="E78" i="48"/>
  <c r="E77" i="48"/>
  <c r="E76" i="48"/>
  <c r="E93" i="48"/>
  <c r="E91" i="48"/>
  <c r="E90" i="48"/>
  <c r="E89" i="48"/>
  <c r="E25" i="48"/>
  <c r="E24" i="48"/>
  <c r="E23" i="48"/>
  <c r="E20" i="48"/>
  <c r="E19" i="48"/>
  <c r="E18" i="48"/>
  <c r="E17" i="48"/>
  <c r="E16" i="48"/>
  <c r="E15" i="48"/>
  <c r="E14" i="48"/>
  <c r="E13" i="48"/>
  <c r="E12" i="48"/>
  <c r="E11" i="48"/>
  <c r="E10" i="48"/>
  <c r="E9" i="48"/>
  <c r="E8" i="48"/>
  <c r="E61" i="41"/>
  <c r="E79" i="41"/>
  <c r="E93" i="41"/>
  <c r="E91" i="41"/>
  <c r="E90" i="41"/>
  <c r="E89" i="41"/>
  <c r="E82" i="41"/>
  <c r="E81" i="41"/>
  <c r="E80" i="41"/>
  <c r="E78" i="41"/>
  <c r="E77" i="41"/>
  <c r="E76" i="41"/>
  <c r="E72" i="41"/>
  <c r="E71" i="41"/>
  <c r="E70" i="41"/>
  <c r="E69" i="41"/>
  <c r="E65" i="41"/>
  <c r="E60" i="41"/>
  <c r="E58" i="41"/>
  <c r="E56" i="41"/>
  <c r="E55" i="41"/>
  <c r="E53" i="41"/>
  <c r="E47" i="41"/>
  <c r="E46" i="41"/>
  <c r="E42" i="41"/>
  <c r="E41" i="41"/>
  <c r="E40" i="41"/>
  <c r="E38" i="41"/>
  <c r="E92" i="41"/>
  <c r="E37" i="41"/>
  <c r="E36" i="41"/>
  <c r="E35" i="41"/>
  <c r="E34" i="41"/>
  <c r="E33" i="41"/>
  <c r="E32" i="41"/>
  <c r="E31" i="41"/>
  <c r="E30" i="41"/>
  <c r="E29" i="41"/>
  <c r="E25" i="41"/>
  <c r="E24" i="41"/>
  <c r="E23" i="41"/>
  <c r="J63" i="3"/>
  <c r="I63" i="3"/>
  <c r="G63" i="3"/>
  <c r="F63" i="3"/>
  <c r="D63" i="3"/>
  <c r="C63" i="3"/>
  <c r="Q46" i="69"/>
  <c r="Q48" i="69"/>
  <c r="R46" i="69"/>
  <c r="R48" i="69"/>
  <c r="I46" i="69"/>
  <c r="I48" i="69"/>
  <c r="J46" i="69"/>
  <c r="J48" i="69"/>
  <c r="P46" i="69"/>
  <c r="P48" i="69"/>
  <c r="F46" i="69"/>
  <c r="F48" i="69"/>
  <c r="G46" i="69"/>
  <c r="G48" i="69"/>
  <c r="Q72" i="68"/>
  <c r="O72" i="68"/>
  <c r="L72" i="68"/>
  <c r="L133" i="68"/>
  <c r="G133" i="68"/>
  <c r="M100" i="68"/>
  <c r="M46" i="69"/>
  <c r="M48" i="69"/>
  <c r="O46" i="69"/>
  <c r="O48" i="69"/>
  <c r="N46" i="69"/>
  <c r="N48" i="69"/>
  <c r="K46" i="69"/>
  <c r="K48" i="69"/>
  <c r="L46" i="69"/>
  <c r="L48" i="69"/>
  <c r="E34" i="69"/>
  <c r="E45" i="69"/>
  <c r="S72" i="68"/>
  <c r="U100" i="68"/>
  <c r="M133" i="68"/>
  <c r="S133" i="68"/>
  <c r="Q133" i="68"/>
  <c r="U133" i="68"/>
  <c r="P133" i="68"/>
  <c r="T133" i="68"/>
  <c r="R133" i="68"/>
  <c r="O133" i="68"/>
  <c r="N148" i="68"/>
  <c r="N133" i="68"/>
  <c r="U148" i="68"/>
  <c r="L100" i="68"/>
  <c r="K72" i="68"/>
  <c r="H100" i="68"/>
  <c r="F66" i="68"/>
  <c r="G147" i="68"/>
  <c r="P148" i="68"/>
  <c r="O100" i="68"/>
  <c r="P100" i="68"/>
  <c r="Q100" i="68"/>
  <c r="H133" i="68"/>
  <c r="K148" i="68"/>
  <c r="M43" i="68"/>
  <c r="U43" i="68"/>
  <c r="F122" i="68"/>
  <c r="R100" i="68"/>
  <c r="T100" i="68"/>
  <c r="Q147" i="68"/>
  <c r="O147" i="68"/>
  <c r="S148" i="68"/>
  <c r="M148" i="68"/>
  <c r="P147" i="68"/>
  <c r="O148" i="68"/>
  <c r="N100" i="68"/>
  <c r="F99" i="68"/>
  <c r="F144" i="68"/>
  <c r="H147" i="68"/>
  <c r="R147" i="68"/>
  <c r="G148" i="68"/>
  <c r="Q148" i="68"/>
  <c r="S147" i="68"/>
  <c r="K43" i="68"/>
  <c r="S43" i="68"/>
  <c r="H148" i="68"/>
  <c r="R148" i="68"/>
  <c r="G100" i="68"/>
  <c r="L147" i="68"/>
  <c r="T147" i="68"/>
  <c r="L148" i="68"/>
  <c r="T148" i="68"/>
  <c r="M72" i="68"/>
  <c r="U72" i="68"/>
  <c r="F95" i="68"/>
  <c r="K100" i="68"/>
  <c r="S100" i="68"/>
  <c r="F35" i="68"/>
  <c r="N147" i="68"/>
  <c r="F71" i="68"/>
  <c r="N72" i="68"/>
  <c r="F78" i="68"/>
  <c r="F79" i="68"/>
  <c r="K133" i="68"/>
  <c r="L43" i="68"/>
  <c r="K147" i="68"/>
  <c r="L145" i="68"/>
  <c r="F42" i="68"/>
  <c r="N43" i="68"/>
  <c r="M147" i="68"/>
  <c r="U147" i="68"/>
  <c r="F132" i="68"/>
  <c r="S145" i="68"/>
  <c r="O43" i="68"/>
  <c r="T145" i="68"/>
  <c r="G43" i="68"/>
  <c r="P43" i="68"/>
  <c r="T43" i="68"/>
  <c r="H43" i="68"/>
  <c r="Q43" i="68"/>
  <c r="R43" i="68"/>
  <c r="T87" i="48"/>
  <c r="T98" i="48"/>
  <c r="T63" i="48"/>
  <c r="T44" i="48"/>
  <c r="T97" i="48"/>
  <c r="T28" i="48"/>
  <c r="T95" i="48"/>
  <c r="E54" i="41"/>
  <c r="E71" i="2"/>
  <c r="E63" i="3"/>
  <c r="H71" i="2"/>
  <c r="M71" i="2"/>
  <c r="L71" i="2"/>
  <c r="K71" i="2"/>
  <c r="M172" i="2"/>
  <c r="L172" i="2"/>
  <c r="K172" i="2"/>
  <c r="H172" i="2"/>
  <c r="E172" i="2"/>
  <c r="H63" i="3"/>
  <c r="K63" i="3"/>
  <c r="M115" i="2"/>
  <c r="L115" i="2"/>
  <c r="K115" i="2"/>
  <c r="H115" i="2"/>
  <c r="E115" i="2"/>
  <c r="G131" i="35"/>
  <c r="F69" i="51"/>
  <c r="E46" i="69"/>
  <c r="E48" i="69"/>
  <c r="O49" i="69"/>
  <c r="L63" i="3"/>
  <c r="N63" i="3"/>
  <c r="N115" i="2"/>
  <c r="N172" i="2"/>
  <c r="F72" i="68"/>
  <c r="H149" i="68"/>
  <c r="R149" i="68"/>
  <c r="U149" i="68"/>
  <c r="K149" i="68"/>
  <c r="O149" i="68"/>
  <c r="T149" i="68"/>
  <c r="Q149" i="68"/>
  <c r="F133" i="68"/>
  <c r="F43" i="68"/>
  <c r="F100" i="68"/>
  <c r="F145" i="68"/>
  <c r="P149" i="68"/>
  <c r="M149" i="68"/>
  <c r="S149" i="68"/>
  <c r="G149" i="68"/>
  <c r="N149" i="68"/>
  <c r="F147" i="68"/>
  <c r="L149" i="68"/>
  <c r="F148" i="68"/>
  <c r="T99" i="48"/>
  <c r="N71" i="2"/>
  <c r="P63" i="3"/>
  <c r="K86" i="41"/>
  <c r="L86" i="41"/>
  <c r="M86" i="41"/>
  <c r="N86" i="41"/>
  <c r="O86" i="41"/>
  <c r="O98" i="41" s="1"/>
  <c r="P86" i="41"/>
  <c r="P87" i="41" s="1"/>
  <c r="Q86" i="41"/>
  <c r="R86" i="41"/>
  <c r="S86" i="41"/>
  <c r="T86" i="41"/>
  <c r="U86" i="41"/>
  <c r="J86" i="41"/>
  <c r="H46" i="69"/>
  <c r="Q49" i="69"/>
  <c r="R49" i="69"/>
  <c r="P49" i="69"/>
  <c r="H34" i="69"/>
  <c r="H45" i="69"/>
  <c r="H37" i="69"/>
  <c r="H24" i="69"/>
  <c r="H16" i="69"/>
  <c r="H12" i="69"/>
  <c r="H8" i="69"/>
  <c r="H38" i="69"/>
  <c r="H44" i="69"/>
  <c r="H47" i="69"/>
  <c r="H32" i="69"/>
  <c r="H28" i="69"/>
  <c r="H23" i="69"/>
  <c r="H15" i="69"/>
  <c r="H11" i="69"/>
  <c r="H27" i="69"/>
  <c r="H40" i="69"/>
  <c r="H48" i="69"/>
  <c r="H39" i="69"/>
  <c r="H30" i="69"/>
  <c r="H29" i="69"/>
  <c r="F49" i="69"/>
  <c r="H21" i="69"/>
  <c r="H20" i="69"/>
  <c r="H18" i="69"/>
  <c r="H10" i="69"/>
  <c r="N49" i="69"/>
  <c r="G49" i="69"/>
  <c r="H22" i="69"/>
  <c r="H17" i="69"/>
  <c r="I49" i="69"/>
  <c r="H31" i="69"/>
  <c r="H9" i="69"/>
  <c r="H35" i="69"/>
  <c r="J49" i="69"/>
  <c r="H13" i="69"/>
  <c r="H41" i="69"/>
  <c r="H14" i="69"/>
  <c r="K49" i="69"/>
  <c r="L49" i="69"/>
  <c r="H36" i="69"/>
  <c r="H42" i="69"/>
  <c r="M49" i="69"/>
  <c r="J108" i="68"/>
  <c r="J118" i="68"/>
  <c r="J49" i="68"/>
  <c r="J20" i="68"/>
  <c r="F149" i="68"/>
  <c r="M150" i="68"/>
  <c r="J47" i="68"/>
  <c r="J54" i="68"/>
  <c r="J114" i="68"/>
  <c r="J85" i="68"/>
  <c r="J29" i="68"/>
  <c r="J26" i="68"/>
  <c r="J32" i="68"/>
  <c r="J143" i="68"/>
  <c r="J48" i="68"/>
  <c r="J13" i="68"/>
  <c r="J16" i="68"/>
  <c r="J90" i="68"/>
  <c r="J46" i="68"/>
  <c r="J137" i="68"/>
  <c r="J8" i="68"/>
  <c r="J140" i="68"/>
  <c r="J45" i="68"/>
  <c r="J84" i="68"/>
  <c r="J92" i="68"/>
  <c r="J86" i="68"/>
  <c r="J116" i="68"/>
  <c r="J17" i="68"/>
  <c r="J82" i="68"/>
  <c r="J109" i="68"/>
  <c r="J135" i="68"/>
  <c r="J18" i="68"/>
  <c r="J76" i="68"/>
  <c r="J12" i="68"/>
  <c r="J111" i="68"/>
  <c r="J113" i="68"/>
  <c r="J139" i="68"/>
  <c r="J11" i="68"/>
  <c r="J136" i="68"/>
  <c r="J141" i="68"/>
  <c r="J87" i="68"/>
  <c r="J57" i="68"/>
  <c r="J110" i="68"/>
  <c r="J83" i="68"/>
  <c r="J91" i="68"/>
  <c r="J55" i="68"/>
  <c r="J28" i="68"/>
  <c r="J103" i="68"/>
  <c r="J102" i="68"/>
  <c r="J19" i="68"/>
  <c r="J22" i="68"/>
  <c r="J115" i="68"/>
  <c r="J112" i="68"/>
  <c r="J93" i="68"/>
  <c r="J24" i="68"/>
  <c r="J15" i="68"/>
  <c r="J63" i="68"/>
  <c r="J9" i="68"/>
  <c r="J64" i="68"/>
  <c r="J27" i="68"/>
  <c r="J81" i="68"/>
  <c r="J89" i="68"/>
  <c r="J65" i="68"/>
  <c r="J21" i="68"/>
  <c r="J31" i="68"/>
  <c r="J10" i="68"/>
  <c r="J30" i="68"/>
  <c r="J138" i="68"/>
  <c r="J74" i="68"/>
  <c r="J23" i="68"/>
  <c r="J53" i="68"/>
  <c r="J50" i="68"/>
  <c r="J59" i="68"/>
  <c r="J61" i="68"/>
  <c r="J58" i="68"/>
  <c r="J60" i="68"/>
  <c r="J117" i="68"/>
  <c r="J14" i="68"/>
  <c r="J88" i="68"/>
  <c r="J52" i="68"/>
  <c r="J51" i="68"/>
  <c r="J25" i="68"/>
  <c r="J56" i="68"/>
  <c r="J75" i="68"/>
  <c r="J123" i="68"/>
  <c r="J40" i="68"/>
  <c r="J128" i="68"/>
  <c r="J129" i="68"/>
  <c r="J41" i="68"/>
  <c r="J70" i="68"/>
  <c r="J126" i="68"/>
  <c r="J38" i="68"/>
  <c r="J124" i="68"/>
  <c r="J39" i="68"/>
  <c r="J37" i="68"/>
  <c r="J127" i="68"/>
  <c r="J125" i="68"/>
  <c r="J36" i="68"/>
  <c r="J97" i="68"/>
  <c r="J69" i="68"/>
  <c r="J98" i="68"/>
  <c r="J68" i="68"/>
  <c r="I69" i="68"/>
  <c r="I115" i="68"/>
  <c r="Q150" i="68"/>
  <c r="I86" i="68"/>
  <c r="T150" i="68"/>
  <c r="I50" i="68"/>
  <c r="I109" i="68"/>
  <c r="P150" i="68"/>
  <c r="I140" i="68"/>
  <c r="I30" i="68"/>
  <c r="L150" i="68"/>
  <c r="I26" i="68"/>
  <c r="I81" i="68"/>
  <c r="I39" i="68"/>
  <c r="I111" i="68"/>
  <c r="I31" i="68"/>
  <c r="I103" i="68"/>
  <c r="I10" i="68"/>
  <c r="I74" i="68"/>
  <c r="I85" i="68"/>
  <c r="I28" i="68"/>
  <c r="I123" i="68"/>
  <c r="I37" i="68"/>
  <c r="I102" i="68"/>
  <c r="I70" i="68"/>
  <c r="I46" i="68"/>
  <c r="I19" i="68"/>
  <c r="I45" i="68"/>
  <c r="I141" i="68"/>
  <c r="I114" i="68"/>
  <c r="I49" i="68"/>
  <c r="I52" i="68"/>
  <c r="I25" i="68"/>
  <c r="I13" i="68"/>
  <c r="I128" i="68"/>
  <c r="I38" i="68"/>
  <c r="I15" i="68"/>
  <c r="I47" i="68"/>
  <c r="I58" i="68"/>
  <c r="I76" i="68"/>
  <c r="I51" i="68"/>
  <c r="I139" i="68"/>
  <c r="I126" i="68"/>
  <c r="K150" i="68"/>
  <c r="I75" i="68"/>
  <c r="I93" i="68"/>
  <c r="I16" i="68"/>
  <c r="I117" i="68"/>
  <c r="I23" i="68"/>
  <c r="I48" i="68"/>
  <c r="I137" i="68"/>
  <c r="I88" i="68"/>
  <c r="I11" i="68"/>
  <c r="I136" i="68"/>
  <c r="I59" i="68"/>
  <c r="I41" i="68"/>
  <c r="R150" i="68"/>
  <c r="I148" i="68"/>
  <c r="I53" i="68"/>
  <c r="I125" i="68"/>
  <c r="I118" i="68"/>
  <c r="I60" i="68"/>
  <c r="I61" i="68"/>
  <c r="I98" i="68"/>
  <c r="I20" i="68"/>
  <c r="I21" i="68"/>
  <c r="I27" i="68"/>
  <c r="I63" i="68"/>
  <c r="I89" i="68"/>
  <c r="I129" i="68"/>
  <c r="U150" i="68"/>
  <c r="S150" i="68"/>
  <c r="I8" i="68"/>
  <c r="I9" i="68"/>
  <c r="I112" i="68"/>
  <c r="I29" i="68"/>
  <c r="I14" i="68"/>
  <c r="O150" i="68"/>
  <c r="I124" i="68"/>
  <c r="I90" i="68"/>
  <c r="I68" i="68"/>
  <c r="I143" i="68"/>
  <c r="I138" i="68"/>
  <c r="I56" i="68"/>
  <c r="I108" i="68"/>
  <c r="I84" i="68"/>
  <c r="I147" i="68"/>
  <c r="G150" i="68"/>
  <c r="I32" i="68"/>
  <c r="I18" i="68"/>
  <c r="I97" i="68"/>
  <c r="I91" i="68"/>
  <c r="I17" i="68"/>
  <c r="I55" i="68"/>
  <c r="I83" i="68"/>
  <c r="I36" i="68"/>
  <c r="I87" i="68"/>
  <c r="I65" i="68"/>
  <c r="I22" i="68"/>
  <c r="I116" i="68"/>
  <c r="I92" i="68"/>
  <c r="N150" i="68"/>
  <c r="I82" i="68"/>
  <c r="I110" i="68"/>
  <c r="I135" i="68"/>
  <c r="I24" i="68"/>
  <c r="I54" i="68"/>
  <c r="I127" i="68"/>
  <c r="I12" i="68"/>
  <c r="I64" i="68"/>
  <c r="I57" i="68"/>
  <c r="I113" i="68"/>
  <c r="I40" i="68"/>
  <c r="H150" i="68"/>
  <c r="J104" i="68"/>
  <c r="J95" i="68"/>
  <c r="J122" i="68"/>
  <c r="J144" i="68"/>
  <c r="J35" i="68"/>
  <c r="J71" i="68"/>
  <c r="J66" i="68"/>
  <c r="J78" i="68"/>
  <c r="J42" i="68"/>
  <c r="J132" i="68"/>
  <c r="J99" i="68"/>
  <c r="F34" i="38"/>
  <c r="G15" i="21"/>
  <c r="H23" i="6"/>
  <c r="H24" i="6"/>
  <c r="H25" i="6"/>
  <c r="H26" i="6"/>
  <c r="H27" i="6"/>
  <c r="H28" i="6"/>
  <c r="H29" i="6"/>
  <c r="H30" i="6"/>
  <c r="H31" i="6"/>
  <c r="H48" i="6"/>
  <c r="H47" i="6"/>
  <c r="H46" i="6"/>
  <c r="H45" i="6"/>
  <c r="H39" i="6"/>
  <c r="H38" i="6"/>
  <c r="F30" i="6"/>
  <c r="H21" i="6"/>
  <c r="H22" i="6"/>
  <c r="H32" i="6" s="1"/>
  <c r="H33" i="6" s="1"/>
  <c r="H18" i="6"/>
  <c r="H19" i="6"/>
  <c r="F36" i="13"/>
  <c r="G36" i="13"/>
  <c r="H36" i="13"/>
  <c r="I36" i="13"/>
  <c r="J36" i="13"/>
  <c r="E36" i="13"/>
  <c r="C35" i="13"/>
  <c r="L34" i="49"/>
  <c r="K22" i="41"/>
  <c r="I104" i="68"/>
  <c r="I105" i="68"/>
  <c r="I71" i="68"/>
  <c r="I149" i="68"/>
  <c r="I78" i="68"/>
  <c r="I79" i="68"/>
  <c r="I42" i="68"/>
  <c r="I99" i="68"/>
  <c r="I122" i="68"/>
  <c r="I35" i="68"/>
  <c r="I132" i="68"/>
  <c r="I95" i="68"/>
  <c r="I66" i="68"/>
  <c r="I144" i="68"/>
  <c r="I145" i="68"/>
  <c r="D50" i="13"/>
  <c r="D47" i="13"/>
  <c r="G59" i="41"/>
  <c r="H15" i="21"/>
  <c r="I100" i="68"/>
  <c r="I72" i="68"/>
  <c r="I133" i="68"/>
  <c r="I43" i="68"/>
  <c r="D26" i="67"/>
  <c r="C11" i="66"/>
  <c r="D59" i="65"/>
  <c r="D52" i="65"/>
  <c r="D47" i="65"/>
  <c r="D38" i="65"/>
  <c r="C23" i="64"/>
  <c r="C11" i="64"/>
  <c r="G488" i="35"/>
  <c r="H488" i="35"/>
  <c r="J37" i="3"/>
  <c r="K37" i="3"/>
  <c r="I37" i="3"/>
  <c r="G37" i="3"/>
  <c r="H37" i="3"/>
  <c r="F37" i="3"/>
  <c r="D37" i="3"/>
  <c r="E37" i="3"/>
  <c r="C37" i="3"/>
  <c r="C12" i="3"/>
  <c r="D12" i="3"/>
  <c r="E12" i="3"/>
  <c r="F12" i="3"/>
  <c r="G12" i="3"/>
  <c r="H12" i="3"/>
  <c r="I12" i="3"/>
  <c r="J12" i="3"/>
  <c r="K12" i="3"/>
  <c r="L147" i="2"/>
  <c r="M147" i="2"/>
  <c r="K147" i="2"/>
  <c r="H147" i="2"/>
  <c r="E147" i="2"/>
  <c r="M46" i="2"/>
  <c r="L46" i="2"/>
  <c r="K46" i="2"/>
  <c r="H46" i="2"/>
  <c r="E46" i="2"/>
  <c r="L12" i="3"/>
  <c r="M11" i="3"/>
  <c r="N12" i="3"/>
  <c r="O11" i="3"/>
  <c r="N147" i="2"/>
  <c r="N37" i="3"/>
  <c r="N46" i="2"/>
  <c r="L37" i="3"/>
  <c r="P37" i="3"/>
  <c r="P12" i="3"/>
  <c r="Q11" i="3"/>
  <c r="G34" i="38"/>
  <c r="H527" i="35"/>
  <c r="G527" i="35"/>
  <c r="H223" i="35"/>
  <c r="G223" i="35"/>
  <c r="H77" i="35"/>
  <c r="G77" i="35"/>
  <c r="F40" i="51"/>
  <c r="F96" i="51" s="1"/>
  <c r="G40" i="51"/>
  <c r="G96" i="51" s="1"/>
  <c r="F39" i="6"/>
  <c r="H42" i="6"/>
  <c r="H20" i="6"/>
  <c r="C17" i="13"/>
  <c r="C32" i="13"/>
  <c r="C25" i="13"/>
  <c r="E86" i="41"/>
  <c r="E87" i="41" s="1"/>
  <c r="E99" i="41" s="1"/>
  <c r="E116" i="2"/>
  <c r="K173" i="2"/>
  <c r="G557" i="35"/>
  <c r="H557" i="35"/>
  <c r="F20" i="21"/>
  <c r="F10" i="21"/>
  <c r="F12" i="21"/>
  <c r="F14" i="21"/>
  <c r="F18" i="6"/>
  <c r="F19" i="6"/>
  <c r="F20" i="6"/>
  <c r="F32" i="6" s="1"/>
  <c r="F33" i="6" s="1"/>
  <c r="F21" i="6"/>
  <c r="F22" i="6"/>
  <c r="F23" i="6"/>
  <c r="F24" i="6"/>
  <c r="F25" i="6"/>
  <c r="F26" i="6"/>
  <c r="F27" i="6"/>
  <c r="F28" i="6"/>
  <c r="F29" i="6"/>
  <c r="F31" i="6"/>
  <c r="A62" i="13"/>
  <c r="A63" i="13"/>
  <c r="C38" i="3"/>
  <c r="D38" i="3"/>
  <c r="E38" i="3"/>
  <c r="F38" i="3"/>
  <c r="G38" i="3"/>
  <c r="H38" i="3"/>
  <c r="I38" i="3"/>
  <c r="J38" i="3"/>
  <c r="K38" i="3"/>
  <c r="C64" i="3"/>
  <c r="D64" i="3"/>
  <c r="F64" i="3"/>
  <c r="G64" i="3"/>
  <c r="H64" i="3"/>
  <c r="I64" i="3"/>
  <c r="J64" i="3"/>
  <c r="K64" i="3"/>
  <c r="E173" i="2"/>
  <c r="H173" i="2"/>
  <c r="L173" i="2"/>
  <c r="M173" i="2"/>
  <c r="H116" i="2"/>
  <c r="K116" i="2"/>
  <c r="L116" i="2"/>
  <c r="M116" i="2"/>
  <c r="E72" i="2"/>
  <c r="H72" i="2"/>
  <c r="K72" i="2"/>
  <c r="L72" i="2"/>
  <c r="M72" i="2"/>
  <c r="E15" i="2"/>
  <c r="H15" i="2"/>
  <c r="K15" i="2"/>
  <c r="L15" i="2"/>
  <c r="M15" i="2"/>
  <c r="F8" i="21"/>
  <c r="E15" i="21"/>
  <c r="H16" i="21" s="1"/>
  <c r="E64" i="3"/>
  <c r="L38" i="3"/>
  <c r="M37" i="3"/>
  <c r="N38" i="3"/>
  <c r="O37" i="3"/>
  <c r="N64" i="3"/>
  <c r="O63" i="3"/>
  <c r="L64" i="3"/>
  <c r="M63" i="3"/>
  <c r="P38" i="3"/>
  <c r="Q37" i="3"/>
  <c r="N173" i="2"/>
  <c r="N116" i="2"/>
  <c r="N72" i="2"/>
  <c r="N15" i="2"/>
  <c r="J41" i="38"/>
  <c r="E41" i="38"/>
  <c r="P64" i="3"/>
  <c r="Q63" i="3"/>
  <c r="K103" i="49"/>
  <c r="N103" i="49"/>
  <c r="P66" i="48"/>
  <c r="K66" i="48"/>
  <c r="P66" i="41"/>
  <c r="P67" i="41"/>
  <c r="J66" i="41"/>
  <c r="J67" i="41"/>
  <c r="L22" i="48"/>
  <c r="P22" i="48"/>
  <c r="E39" i="41"/>
  <c r="G362" i="35"/>
  <c r="H188" i="35"/>
  <c r="G188" i="35"/>
  <c r="H17" i="35"/>
  <c r="G17" i="35"/>
  <c r="G20" i="38"/>
  <c r="U41" i="49"/>
  <c r="T41" i="49"/>
  <c r="O121" i="49"/>
  <c r="P143" i="49"/>
  <c r="F143" i="49"/>
  <c r="N121" i="49"/>
  <c r="F121" i="49"/>
  <c r="R94" i="48"/>
  <c r="E94" i="48"/>
  <c r="Q94" i="41"/>
  <c r="G94" i="41"/>
  <c r="E94" i="41"/>
  <c r="E95" i="41"/>
  <c r="H21" i="21"/>
  <c r="G21" i="21"/>
  <c r="D21" i="21"/>
  <c r="G351" i="35"/>
  <c r="F64" i="13"/>
  <c r="C13" i="3"/>
  <c r="D13" i="3"/>
  <c r="E13" i="3"/>
  <c r="F13" i="3"/>
  <c r="G13" i="3"/>
  <c r="H13" i="3"/>
  <c r="I13" i="3"/>
  <c r="J13" i="3"/>
  <c r="K13" i="3"/>
  <c r="E148" i="2"/>
  <c r="H148" i="2"/>
  <c r="K148" i="2"/>
  <c r="L148" i="2"/>
  <c r="M148" i="2"/>
  <c r="E47" i="2"/>
  <c r="H47" i="2"/>
  <c r="K47" i="2"/>
  <c r="L47" i="2"/>
  <c r="M47" i="2"/>
  <c r="N13" i="3"/>
  <c r="O12" i="3"/>
  <c r="L13" i="3"/>
  <c r="M12" i="3"/>
  <c r="N47" i="2"/>
  <c r="P13" i="3"/>
  <c r="Q12" i="3"/>
  <c r="N148" i="2"/>
  <c r="Q39" i="48"/>
  <c r="Q94" i="48"/>
  <c r="Q95" i="48"/>
  <c r="Q22" i="48"/>
  <c r="Q59" i="48"/>
  <c r="Q75" i="48"/>
  <c r="H270" i="35"/>
  <c r="G270" i="35"/>
  <c r="H41" i="35"/>
  <c r="H58" i="35"/>
  <c r="O103" i="49"/>
  <c r="P103" i="49"/>
  <c r="Q103" i="49"/>
  <c r="R103" i="49"/>
  <c r="S103" i="49"/>
  <c r="T103" i="49"/>
  <c r="U103" i="49"/>
  <c r="M103" i="49"/>
  <c r="L103" i="49"/>
  <c r="G103" i="49"/>
  <c r="H103" i="49"/>
  <c r="F103" i="49"/>
  <c r="F34" i="49"/>
  <c r="L66" i="48"/>
  <c r="M66" i="48"/>
  <c r="N66" i="48"/>
  <c r="O66" i="48"/>
  <c r="Q66" i="48"/>
  <c r="R66" i="48"/>
  <c r="S66" i="48"/>
  <c r="J66" i="48"/>
  <c r="F66" i="48"/>
  <c r="G66" i="48"/>
  <c r="E66" i="48"/>
  <c r="K66" i="41"/>
  <c r="K67" i="41"/>
  <c r="L66" i="41"/>
  <c r="L67" i="41"/>
  <c r="M66" i="41"/>
  <c r="M67" i="41"/>
  <c r="N66" i="41"/>
  <c r="N67" i="41"/>
  <c r="O66" i="41"/>
  <c r="O67" i="41"/>
  <c r="Q66" i="41"/>
  <c r="Q67" i="41"/>
  <c r="R66" i="41"/>
  <c r="R67" i="41"/>
  <c r="S66" i="41"/>
  <c r="S67" i="41"/>
  <c r="T66" i="41"/>
  <c r="T67" i="41"/>
  <c r="U66" i="41"/>
  <c r="U67" i="41"/>
  <c r="F66" i="41"/>
  <c r="F67" i="41"/>
  <c r="G66" i="41"/>
  <c r="G67" i="41"/>
  <c r="E66" i="41"/>
  <c r="E67" i="41"/>
  <c r="J19" i="6"/>
  <c r="E9" i="6"/>
  <c r="G9" i="6"/>
  <c r="E8" i="6"/>
  <c r="H44" i="6"/>
  <c r="J38" i="6"/>
  <c r="J39" i="6"/>
  <c r="J41" i="6"/>
  <c r="J43" i="6"/>
  <c r="J44" i="6"/>
  <c r="J45" i="6"/>
  <c r="H43" i="6"/>
  <c r="H41" i="6"/>
  <c r="H40" i="6"/>
  <c r="H49" i="6" s="1"/>
  <c r="H37" i="6"/>
  <c r="F47" i="6"/>
  <c r="F41" i="6"/>
  <c r="F37" i="6"/>
  <c r="J15" i="6"/>
  <c r="J37" i="6"/>
  <c r="F47" i="7"/>
  <c r="G47" i="7"/>
  <c r="E32" i="6"/>
  <c r="J17" i="6"/>
  <c r="G32" i="6"/>
  <c r="G70" i="13"/>
  <c r="D45" i="13"/>
  <c r="C19" i="13"/>
  <c r="D58" i="13"/>
  <c r="J65" i="3"/>
  <c r="K65" i="3"/>
  <c r="I65" i="3"/>
  <c r="G65" i="3"/>
  <c r="H65" i="3"/>
  <c r="F65" i="3"/>
  <c r="D65" i="3"/>
  <c r="C65" i="3"/>
  <c r="M174" i="2"/>
  <c r="L174" i="2"/>
  <c r="K174" i="2"/>
  <c r="H174" i="2"/>
  <c r="E174" i="2"/>
  <c r="M117" i="2"/>
  <c r="L117" i="2"/>
  <c r="K117" i="2"/>
  <c r="H117" i="2"/>
  <c r="E117" i="2"/>
  <c r="M73" i="2"/>
  <c r="L73" i="2"/>
  <c r="K73" i="2"/>
  <c r="H73" i="2"/>
  <c r="E73" i="2"/>
  <c r="M16" i="2"/>
  <c r="L16" i="2"/>
  <c r="M17" i="2"/>
  <c r="L17" i="2"/>
  <c r="K16" i="2"/>
  <c r="H16" i="2"/>
  <c r="E16" i="2"/>
  <c r="N73" i="2"/>
  <c r="N16" i="2"/>
  <c r="E65" i="3"/>
  <c r="N65" i="3"/>
  <c r="O64" i="3"/>
  <c r="L65" i="3"/>
  <c r="M64" i="3"/>
  <c r="N174" i="2"/>
  <c r="P65" i="3"/>
  <c r="Q64" i="3"/>
  <c r="N117" i="2"/>
  <c r="H585" i="35"/>
  <c r="H586" i="35"/>
  <c r="G585" i="35"/>
  <c r="H626" i="35"/>
  <c r="G626" i="35"/>
  <c r="H613" i="35"/>
  <c r="G613" i="35"/>
  <c r="H495" i="35"/>
  <c r="G495" i="35"/>
  <c r="H447" i="35"/>
  <c r="G447" i="35"/>
  <c r="G382" i="35"/>
  <c r="H362" i="35"/>
  <c r="H306" i="35"/>
  <c r="G306" i="35"/>
  <c r="H292" i="35"/>
  <c r="G292" i="35"/>
  <c r="H111" i="35"/>
  <c r="G111" i="35"/>
  <c r="H96" i="35"/>
  <c r="G96" i="35"/>
  <c r="H83" i="35"/>
  <c r="G83" i="35"/>
  <c r="H75" i="35"/>
  <c r="G75" i="35"/>
  <c r="F76" i="51"/>
  <c r="F77" i="51" s="1"/>
  <c r="J45" i="38"/>
  <c r="K45" i="38"/>
  <c r="L45" i="38"/>
  <c r="M45" i="38"/>
  <c r="N45" i="38"/>
  <c r="I45" i="38"/>
  <c r="F45" i="38"/>
  <c r="G45" i="38"/>
  <c r="E45" i="38"/>
  <c r="E20" i="38"/>
  <c r="M20" i="38"/>
  <c r="I49" i="6"/>
  <c r="G49" i="6"/>
  <c r="G52" i="6" s="1"/>
  <c r="E49" i="6"/>
  <c r="D37" i="6"/>
  <c r="C34" i="13"/>
  <c r="D51" i="13"/>
  <c r="E59" i="41"/>
  <c r="L121" i="49"/>
  <c r="M121" i="49"/>
  <c r="P121" i="49"/>
  <c r="Q121" i="49"/>
  <c r="R121" i="49"/>
  <c r="S121" i="49"/>
  <c r="T121" i="49"/>
  <c r="U121" i="49"/>
  <c r="V121" i="49"/>
  <c r="K121" i="49"/>
  <c r="V76" i="49"/>
  <c r="L76" i="49"/>
  <c r="M76" i="49"/>
  <c r="N76" i="49"/>
  <c r="O76" i="49"/>
  <c r="P76" i="49"/>
  <c r="Q76" i="49"/>
  <c r="R76" i="49"/>
  <c r="S76" i="49"/>
  <c r="T76" i="49"/>
  <c r="U76" i="49"/>
  <c r="K76" i="49"/>
  <c r="G76" i="49"/>
  <c r="H76" i="49"/>
  <c r="F76" i="49"/>
  <c r="L64" i="49"/>
  <c r="M64" i="49"/>
  <c r="N64" i="49"/>
  <c r="O64" i="49"/>
  <c r="P64" i="49"/>
  <c r="R64" i="49"/>
  <c r="S64" i="49"/>
  <c r="T64" i="49"/>
  <c r="U64" i="49"/>
  <c r="V64" i="49"/>
  <c r="K64" i="49"/>
  <c r="G64" i="49"/>
  <c r="H64" i="49"/>
  <c r="F64" i="49"/>
  <c r="L41" i="49"/>
  <c r="M41" i="49"/>
  <c r="N41" i="49"/>
  <c r="O41" i="49"/>
  <c r="P41" i="49"/>
  <c r="Q41" i="49"/>
  <c r="R41" i="49"/>
  <c r="S41" i="49"/>
  <c r="V41" i="49"/>
  <c r="K41" i="49"/>
  <c r="G41" i="49"/>
  <c r="H41" i="49"/>
  <c r="F41" i="49"/>
  <c r="J39" i="48"/>
  <c r="K39" i="48"/>
  <c r="L39" i="48"/>
  <c r="M39" i="48"/>
  <c r="N39" i="48"/>
  <c r="O39" i="48"/>
  <c r="P39" i="48"/>
  <c r="R39" i="48"/>
  <c r="S39" i="48"/>
  <c r="J43" i="48"/>
  <c r="K43" i="48"/>
  <c r="L43" i="48"/>
  <c r="M43" i="48"/>
  <c r="N43" i="48"/>
  <c r="O43" i="48"/>
  <c r="P43" i="48"/>
  <c r="Q43" i="48"/>
  <c r="Q44" i="48"/>
  <c r="R43" i="48"/>
  <c r="S43" i="48"/>
  <c r="O86" i="48"/>
  <c r="E86" i="48"/>
  <c r="K59" i="48"/>
  <c r="L59" i="48"/>
  <c r="M59" i="48"/>
  <c r="N59" i="48"/>
  <c r="O59" i="48"/>
  <c r="P59" i="48"/>
  <c r="R59" i="48"/>
  <c r="S59" i="48"/>
  <c r="J59" i="48"/>
  <c r="F59" i="48"/>
  <c r="G59" i="48"/>
  <c r="E59" i="48"/>
  <c r="K50" i="48"/>
  <c r="L50" i="48"/>
  <c r="M50" i="48"/>
  <c r="N50" i="48"/>
  <c r="O50" i="48"/>
  <c r="P50" i="48"/>
  <c r="Q50" i="48"/>
  <c r="R50" i="48"/>
  <c r="S50" i="48"/>
  <c r="J50" i="48"/>
  <c r="F50" i="48"/>
  <c r="G50" i="48"/>
  <c r="E50" i="48"/>
  <c r="E51" i="48"/>
  <c r="K27" i="48"/>
  <c r="L27" i="48"/>
  <c r="M27" i="48"/>
  <c r="N27" i="48"/>
  <c r="O27" i="48"/>
  <c r="P27" i="48"/>
  <c r="Q27" i="48"/>
  <c r="R27" i="48"/>
  <c r="S27" i="48"/>
  <c r="J27" i="48"/>
  <c r="F27" i="48"/>
  <c r="G27" i="48"/>
  <c r="E27" i="48"/>
  <c r="K22" i="48"/>
  <c r="M22" i="48"/>
  <c r="N22" i="48"/>
  <c r="O22" i="48"/>
  <c r="R22" i="48"/>
  <c r="S22" i="48"/>
  <c r="J22" i="48"/>
  <c r="F22" i="48"/>
  <c r="G22" i="48"/>
  <c r="E22" i="48"/>
  <c r="L44" i="48"/>
  <c r="R44" i="48"/>
  <c r="M44" i="48"/>
  <c r="G28" i="48"/>
  <c r="J44" i="48"/>
  <c r="P44" i="48"/>
  <c r="O44" i="48"/>
  <c r="N44" i="48"/>
  <c r="S44" i="48"/>
  <c r="K44" i="48"/>
  <c r="S28" i="48"/>
  <c r="Q75" i="41"/>
  <c r="E75" i="41"/>
  <c r="O94" i="41"/>
  <c r="S59" i="41"/>
  <c r="K59" i="41"/>
  <c r="L59" i="41"/>
  <c r="M59" i="41"/>
  <c r="N59" i="41"/>
  <c r="O59" i="41"/>
  <c r="P59" i="41"/>
  <c r="P97" i="41" s="1"/>
  <c r="Q59" i="41"/>
  <c r="R59" i="41"/>
  <c r="T59" i="41"/>
  <c r="U59" i="41"/>
  <c r="J59" i="41"/>
  <c r="F59" i="41"/>
  <c r="E50" i="41"/>
  <c r="E51" i="41"/>
  <c r="K50" i="41"/>
  <c r="L50" i="41"/>
  <c r="M50" i="41"/>
  <c r="N50" i="41"/>
  <c r="O50" i="41"/>
  <c r="P50" i="41"/>
  <c r="Q50" i="41"/>
  <c r="R50" i="41"/>
  <c r="S50" i="41"/>
  <c r="T50" i="41"/>
  <c r="U50" i="41"/>
  <c r="U51" i="41"/>
  <c r="J50" i="41"/>
  <c r="F50" i="41"/>
  <c r="G50" i="41"/>
  <c r="M39" i="41"/>
  <c r="G39" i="41"/>
  <c r="K27" i="41"/>
  <c r="L27" i="41"/>
  <c r="M27" i="41"/>
  <c r="N27" i="41"/>
  <c r="O27" i="41"/>
  <c r="P27" i="41"/>
  <c r="Q27" i="41"/>
  <c r="R27" i="41"/>
  <c r="S27" i="41"/>
  <c r="T27" i="41"/>
  <c r="U27" i="41"/>
  <c r="J27" i="41"/>
  <c r="F27" i="41"/>
  <c r="G27" i="41"/>
  <c r="E27" i="41"/>
  <c r="L22" i="41"/>
  <c r="M22" i="41"/>
  <c r="N22" i="41"/>
  <c r="O22" i="41"/>
  <c r="P22" i="41"/>
  <c r="Q22" i="41"/>
  <c r="R22" i="41"/>
  <c r="S22" i="41"/>
  <c r="T22" i="41"/>
  <c r="U22" i="41"/>
  <c r="J22" i="41"/>
  <c r="F22" i="41"/>
  <c r="G22" i="41"/>
  <c r="E22" i="41"/>
  <c r="L28" i="41"/>
  <c r="E28" i="41"/>
  <c r="J39" i="3"/>
  <c r="I39" i="3"/>
  <c r="G39" i="3"/>
  <c r="F39" i="3"/>
  <c r="D39" i="3"/>
  <c r="C39" i="3"/>
  <c r="E149" i="2"/>
  <c r="H149" i="2"/>
  <c r="K149" i="2"/>
  <c r="L149" i="2"/>
  <c r="M149" i="2"/>
  <c r="N149" i="2"/>
  <c r="G508" i="35"/>
  <c r="H508" i="35"/>
  <c r="H509" i="35"/>
  <c r="D18" i="6"/>
  <c r="D17" i="6"/>
  <c r="C8" i="6" s="1"/>
  <c r="D16" i="6"/>
  <c r="D15" i="6"/>
  <c r="C9" i="13"/>
  <c r="C11" i="13"/>
  <c r="C12" i="13"/>
  <c r="C13" i="13"/>
  <c r="C14" i="13"/>
  <c r="C15" i="13"/>
  <c r="C16" i="13"/>
  <c r="C18" i="13"/>
  <c r="C20" i="13"/>
  <c r="C21" i="13"/>
  <c r="C22" i="13"/>
  <c r="C23" i="13"/>
  <c r="C24" i="13"/>
  <c r="C26" i="13"/>
  <c r="C27" i="13"/>
  <c r="C28" i="13"/>
  <c r="C29" i="13"/>
  <c r="C30" i="13"/>
  <c r="C31" i="13"/>
  <c r="C33" i="13"/>
  <c r="C8" i="13"/>
  <c r="F75" i="41"/>
  <c r="G75" i="41"/>
  <c r="E39" i="3"/>
  <c r="H39" i="3"/>
  <c r="K39" i="3"/>
  <c r="C57" i="3"/>
  <c r="L57" i="3" s="1"/>
  <c r="M57" i="3" s="1"/>
  <c r="D57" i="3"/>
  <c r="E57" i="3" s="1"/>
  <c r="P57" i="3" s="1"/>
  <c r="F57" i="3"/>
  <c r="G57" i="3"/>
  <c r="H57" i="3" s="1"/>
  <c r="K57" i="3"/>
  <c r="I56" i="3"/>
  <c r="J56" i="3"/>
  <c r="K56" i="3"/>
  <c r="C59" i="3"/>
  <c r="C58" i="3" s="1"/>
  <c r="L58" i="3" s="1"/>
  <c r="M58" i="3" s="1"/>
  <c r="D59" i="3"/>
  <c r="F59" i="3"/>
  <c r="F58" i="3"/>
  <c r="G59" i="3"/>
  <c r="G58" i="3" s="1"/>
  <c r="H58" i="3" s="1"/>
  <c r="I59" i="3"/>
  <c r="I58" i="3" s="1"/>
  <c r="J59" i="3"/>
  <c r="J58" i="3"/>
  <c r="K58" i="3"/>
  <c r="C60" i="3"/>
  <c r="D60" i="3"/>
  <c r="E60" i="3"/>
  <c r="F60" i="3"/>
  <c r="G60" i="3"/>
  <c r="H60" i="3"/>
  <c r="I60" i="3"/>
  <c r="J60" i="3"/>
  <c r="K60" i="3"/>
  <c r="L48" i="2"/>
  <c r="E48" i="2"/>
  <c r="H48" i="2"/>
  <c r="K48" i="2"/>
  <c r="M48" i="2"/>
  <c r="H49" i="2"/>
  <c r="C36" i="13"/>
  <c r="D10" i="13"/>
  <c r="H59" i="3"/>
  <c r="N59" i="3"/>
  <c r="O59" i="3" s="1"/>
  <c r="D58" i="3"/>
  <c r="E58" i="3" s="1"/>
  <c r="N48" i="2"/>
  <c r="L39" i="3"/>
  <c r="M38" i="3"/>
  <c r="P39" i="3"/>
  <c r="Q38" i="3"/>
  <c r="N39" i="3"/>
  <c r="O38" i="3"/>
  <c r="E59" i="3"/>
  <c r="P59" i="3" s="1"/>
  <c r="Q59" i="3" s="1"/>
  <c r="L60" i="3"/>
  <c r="P60" i="3"/>
  <c r="N60" i="3"/>
  <c r="L59" i="3"/>
  <c r="K59" i="3"/>
  <c r="H37" i="13"/>
  <c r="J37" i="13"/>
  <c r="D17" i="13"/>
  <c r="D35" i="13"/>
  <c r="D32" i="13"/>
  <c r="D19" i="13"/>
  <c r="D25" i="13"/>
  <c r="E37" i="13"/>
  <c r="D34" i="13"/>
  <c r="M59" i="3"/>
  <c r="N41" i="38"/>
  <c r="M41" i="38"/>
  <c r="L41" i="38"/>
  <c r="K41" i="38"/>
  <c r="I41" i="38"/>
  <c r="G41" i="38"/>
  <c r="F41" i="38"/>
  <c r="N36" i="38"/>
  <c r="M36" i="38"/>
  <c r="L36" i="38"/>
  <c r="K36" i="38"/>
  <c r="J36" i="38"/>
  <c r="I36" i="38"/>
  <c r="G36" i="38"/>
  <c r="F36" i="38"/>
  <c r="E36" i="38"/>
  <c r="N34" i="38"/>
  <c r="M34" i="38"/>
  <c r="L34" i="38"/>
  <c r="K34" i="38"/>
  <c r="J34" i="38"/>
  <c r="I34" i="38"/>
  <c r="E34" i="38"/>
  <c r="N29" i="38"/>
  <c r="M29" i="38"/>
  <c r="L29" i="38"/>
  <c r="K29" i="38"/>
  <c r="J29" i="38"/>
  <c r="I29" i="38"/>
  <c r="G29" i="38"/>
  <c r="F29" i="38"/>
  <c r="E29" i="38"/>
  <c r="N20" i="38"/>
  <c r="L20" i="38"/>
  <c r="K20" i="38"/>
  <c r="J20" i="38"/>
  <c r="I20" i="38"/>
  <c r="F20" i="38"/>
  <c r="G586" i="35"/>
  <c r="H552" i="35"/>
  <c r="H558" i="35"/>
  <c r="H587" i="35"/>
  <c r="G552" i="35"/>
  <c r="H599" i="35"/>
  <c r="H627" i="35"/>
  <c r="G599" i="35"/>
  <c r="G627" i="35"/>
  <c r="H528" i="35"/>
  <c r="G528" i="35"/>
  <c r="G529" i="35"/>
  <c r="H466" i="35"/>
  <c r="G466" i="35"/>
  <c r="G489" i="35"/>
  <c r="G389" i="35"/>
  <c r="G390" i="35"/>
  <c r="H382" i="35"/>
  <c r="H373" i="35"/>
  <c r="G373" i="35"/>
  <c r="G383" i="35"/>
  <c r="H356" i="35"/>
  <c r="G356" i="35"/>
  <c r="H353" i="35"/>
  <c r="G353" i="35"/>
  <c r="H351" i="35"/>
  <c r="H342" i="35"/>
  <c r="G342" i="35"/>
  <c r="H319" i="35"/>
  <c r="G319" i="35"/>
  <c r="H236" i="35"/>
  <c r="G236" i="35"/>
  <c r="H221" i="35"/>
  <c r="G221" i="35"/>
  <c r="H215" i="35"/>
  <c r="G215" i="35"/>
  <c r="H206" i="35"/>
  <c r="G206" i="35"/>
  <c r="H199" i="35"/>
  <c r="G199" i="35"/>
  <c r="H175" i="35"/>
  <c r="G175" i="35"/>
  <c r="H163" i="35"/>
  <c r="H140" i="35"/>
  <c r="G140" i="35"/>
  <c r="H122" i="35"/>
  <c r="G122" i="35"/>
  <c r="H60" i="35"/>
  <c r="G60" i="35"/>
  <c r="G58" i="35"/>
  <c r="G41" i="35"/>
  <c r="G84" i="51"/>
  <c r="I84" i="51" s="1"/>
  <c r="F84" i="51"/>
  <c r="G90" i="51"/>
  <c r="G93" i="51" s="1"/>
  <c r="F90" i="51"/>
  <c r="F93" i="51" s="1"/>
  <c r="G76" i="51"/>
  <c r="G77" i="51" s="1"/>
  <c r="G72" i="51"/>
  <c r="F72" i="51"/>
  <c r="G69" i="51"/>
  <c r="G62" i="51"/>
  <c r="I62" i="51" s="1"/>
  <c r="F62" i="51"/>
  <c r="F63" i="51" s="1"/>
  <c r="G59" i="51"/>
  <c r="F59" i="51"/>
  <c r="G53" i="51"/>
  <c r="G54" i="51" s="1"/>
  <c r="F53" i="51"/>
  <c r="G49" i="51"/>
  <c r="J49" i="51" s="1"/>
  <c r="F49" i="51"/>
  <c r="F95" i="51" s="1"/>
  <c r="H18" i="21"/>
  <c r="G18" i="21"/>
  <c r="E18" i="21"/>
  <c r="D18" i="21"/>
  <c r="G24" i="21"/>
  <c r="D8" i="7"/>
  <c r="F48" i="6"/>
  <c r="D48" i="6"/>
  <c r="D47" i="6"/>
  <c r="F46" i="6"/>
  <c r="D46" i="6"/>
  <c r="F45" i="6"/>
  <c r="F49" i="6" s="1"/>
  <c r="D45" i="6"/>
  <c r="F44" i="6"/>
  <c r="D44" i="6"/>
  <c r="F43" i="6"/>
  <c r="D43" i="6"/>
  <c r="J42" i="6"/>
  <c r="F42" i="6"/>
  <c r="D42" i="6"/>
  <c r="D41" i="6"/>
  <c r="D49" i="6" s="1"/>
  <c r="D52" i="6" s="1"/>
  <c r="J40" i="6"/>
  <c r="F40" i="6"/>
  <c r="D40" i="6"/>
  <c r="D39" i="6"/>
  <c r="F38" i="6"/>
  <c r="D38" i="6"/>
  <c r="D19" i="6"/>
  <c r="J18" i="6"/>
  <c r="J16" i="6"/>
  <c r="E10" i="6"/>
  <c r="B9" i="6"/>
  <c r="B8" i="6"/>
  <c r="G71" i="13"/>
  <c r="F71" i="13"/>
  <c r="F70" i="13"/>
  <c r="G68" i="13"/>
  <c r="F68" i="13"/>
  <c r="D67" i="13"/>
  <c r="A67" i="13"/>
  <c r="A70" i="13"/>
  <c r="A71" i="13"/>
  <c r="D66" i="13"/>
  <c r="G64" i="13"/>
  <c r="D63" i="13"/>
  <c r="D62" i="13"/>
  <c r="A66" i="13"/>
  <c r="G60" i="13"/>
  <c r="F60" i="13"/>
  <c r="D59" i="13"/>
  <c r="D46" i="13"/>
  <c r="V131" i="49"/>
  <c r="V132" i="49"/>
  <c r="U131" i="49"/>
  <c r="T131" i="49"/>
  <c r="S131" i="49"/>
  <c r="R131" i="49"/>
  <c r="Q131" i="49"/>
  <c r="Q132" i="49"/>
  <c r="P131" i="49"/>
  <c r="O131" i="49"/>
  <c r="N131" i="49"/>
  <c r="M131" i="49"/>
  <c r="L131" i="49"/>
  <c r="K131" i="49"/>
  <c r="H131" i="49"/>
  <c r="H132" i="49"/>
  <c r="G131" i="49"/>
  <c r="F131" i="49"/>
  <c r="F132" i="49"/>
  <c r="V143" i="49"/>
  <c r="V144" i="49"/>
  <c r="U143" i="49"/>
  <c r="U144" i="49"/>
  <c r="T143" i="49"/>
  <c r="T144" i="49"/>
  <c r="S143" i="49"/>
  <c r="S144" i="49"/>
  <c r="R143" i="49"/>
  <c r="R144" i="49"/>
  <c r="Q143" i="49"/>
  <c r="Q144" i="49"/>
  <c r="P144" i="49"/>
  <c r="O143" i="49"/>
  <c r="O144" i="49"/>
  <c r="N143" i="49"/>
  <c r="N144" i="49"/>
  <c r="M143" i="49"/>
  <c r="M144" i="49"/>
  <c r="L143" i="49"/>
  <c r="L144" i="49"/>
  <c r="K143" i="49"/>
  <c r="K144" i="49"/>
  <c r="H143" i="49"/>
  <c r="H144" i="49"/>
  <c r="G143" i="49"/>
  <c r="G144" i="49"/>
  <c r="F144" i="49"/>
  <c r="V103" i="49"/>
  <c r="V104" i="49"/>
  <c r="U104" i="49"/>
  <c r="T104" i="49"/>
  <c r="S104" i="49"/>
  <c r="R104" i="49"/>
  <c r="Q104" i="49"/>
  <c r="P104" i="49"/>
  <c r="O104" i="49"/>
  <c r="N104" i="49"/>
  <c r="M104" i="49"/>
  <c r="L104" i="49"/>
  <c r="H104" i="49"/>
  <c r="G104" i="49"/>
  <c r="F104" i="49"/>
  <c r="V98" i="49"/>
  <c r="U98" i="49"/>
  <c r="T98" i="49"/>
  <c r="S98" i="49"/>
  <c r="R98" i="49"/>
  <c r="Q98" i="49"/>
  <c r="P98" i="49"/>
  <c r="O98" i="49"/>
  <c r="N98" i="49"/>
  <c r="M98" i="49"/>
  <c r="L98" i="49"/>
  <c r="K98" i="49"/>
  <c r="H98" i="49"/>
  <c r="G98" i="49"/>
  <c r="F98" i="49"/>
  <c r="V94" i="49"/>
  <c r="U94" i="49"/>
  <c r="T94" i="49"/>
  <c r="S94" i="49"/>
  <c r="R94" i="49"/>
  <c r="Q94" i="49"/>
  <c r="P94" i="49"/>
  <c r="O94" i="49"/>
  <c r="N94" i="49"/>
  <c r="M94" i="49"/>
  <c r="L94" i="49"/>
  <c r="K94" i="49"/>
  <c r="H94" i="49"/>
  <c r="G94" i="49"/>
  <c r="F94" i="49"/>
  <c r="V77" i="49"/>
  <c r="U77" i="49"/>
  <c r="T77" i="49"/>
  <c r="S77" i="49"/>
  <c r="R77" i="49"/>
  <c r="Q77" i="49"/>
  <c r="P77" i="49"/>
  <c r="O77" i="49"/>
  <c r="N77" i="49"/>
  <c r="M77" i="49"/>
  <c r="L77" i="49"/>
  <c r="K77" i="49"/>
  <c r="H77" i="49"/>
  <c r="G77" i="49"/>
  <c r="F77" i="49"/>
  <c r="V69" i="49"/>
  <c r="V70" i="49"/>
  <c r="U69" i="49"/>
  <c r="T69" i="49"/>
  <c r="S69" i="49"/>
  <c r="Q69" i="49"/>
  <c r="P69" i="49"/>
  <c r="O69" i="49"/>
  <c r="O70" i="49"/>
  <c r="N69" i="49"/>
  <c r="M69" i="49"/>
  <c r="L69" i="49"/>
  <c r="K69" i="49"/>
  <c r="K70" i="49"/>
  <c r="H69" i="49"/>
  <c r="G69" i="49"/>
  <c r="F69" i="49"/>
  <c r="F70" i="49"/>
  <c r="V34" i="49"/>
  <c r="V42" i="49"/>
  <c r="U34" i="49"/>
  <c r="T34" i="49"/>
  <c r="S34" i="49"/>
  <c r="R34" i="49"/>
  <c r="Q34" i="49"/>
  <c r="Q42" i="49"/>
  <c r="P34" i="49"/>
  <c r="O34" i="49"/>
  <c r="N34" i="49"/>
  <c r="N42" i="49"/>
  <c r="M34" i="49"/>
  <c r="H34" i="49"/>
  <c r="G34" i="49"/>
  <c r="G42" i="49"/>
  <c r="S86" i="48"/>
  <c r="R86" i="48"/>
  <c r="Q86" i="48"/>
  <c r="Q87" i="48"/>
  <c r="P86" i="48"/>
  <c r="N86" i="48"/>
  <c r="M86" i="48"/>
  <c r="L86" i="48"/>
  <c r="K86" i="48"/>
  <c r="J86" i="48"/>
  <c r="G86" i="48"/>
  <c r="F86" i="48"/>
  <c r="S75" i="48"/>
  <c r="R75" i="48"/>
  <c r="P75" i="48"/>
  <c r="O75" i="48"/>
  <c r="N75" i="48"/>
  <c r="M75" i="48"/>
  <c r="L75" i="48"/>
  <c r="K75" i="48"/>
  <c r="J75" i="48"/>
  <c r="G75" i="48"/>
  <c r="F75" i="48"/>
  <c r="E75" i="48"/>
  <c r="E87" i="48"/>
  <c r="S94" i="48"/>
  <c r="S95" i="48"/>
  <c r="R95" i="48"/>
  <c r="P94" i="48"/>
  <c r="P95" i="48"/>
  <c r="O94" i="48"/>
  <c r="O95" i="48"/>
  <c r="N94" i="48"/>
  <c r="N95" i="48"/>
  <c r="M94" i="48"/>
  <c r="M95" i="48"/>
  <c r="L94" i="48"/>
  <c r="L95" i="48"/>
  <c r="K94" i="48"/>
  <c r="K95" i="48"/>
  <c r="J94" i="48"/>
  <c r="J95" i="48"/>
  <c r="G94" i="48"/>
  <c r="G95" i="48"/>
  <c r="F94" i="48"/>
  <c r="F95" i="48"/>
  <c r="E95" i="48"/>
  <c r="S67" i="48"/>
  <c r="R67" i="48"/>
  <c r="Q67" i="48"/>
  <c r="P67" i="48"/>
  <c r="O67" i="48"/>
  <c r="N67" i="48"/>
  <c r="M67" i="48"/>
  <c r="L67" i="48"/>
  <c r="K67" i="48"/>
  <c r="J67" i="48"/>
  <c r="G67" i="48"/>
  <c r="F67" i="48"/>
  <c r="E67" i="48"/>
  <c r="S62" i="48"/>
  <c r="S63" i="48"/>
  <c r="R62" i="48"/>
  <c r="Q62" i="48"/>
  <c r="Q63" i="48"/>
  <c r="P62" i="48"/>
  <c r="P63" i="48"/>
  <c r="O62" i="48"/>
  <c r="O63" i="48"/>
  <c r="N62" i="48"/>
  <c r="N63" i="48"/>
  <c r="M62" i="48"/>
  <c r="L62" i="48"/>
  <c r="K62" i="48"/>
  <c r="K63" i="48"/>
  <c r="J62" i="48"/>
  <c r="G62" i="48"/>
  <c r="F62" i="48"/>
  <c r="E62" i="48"/>
  <c r="E63" i="48"/>
  <c r="S51" i="48"/>
  <c r="R51" i="48"/>
  <c r="Q51" i="48"/>
  <c r="P51" i="48"/>
  <c r="O51" i="48"/>
  <c r="N51" i="48"/>
  <c r="M51" i="48"/>
  <c r="L51" i="48"/>
  <c r="K51" i="48"/>
  <c r="J51" i="48"/>
  <c r="G51" i="48"/>
  <c r="F51" i="48"/>
  <c r="G43" i="48"/>
  <c r="F43" i="48"/>
  <c r="E43" i="48"/>
  <c r="G39" i="48"/>
  <c r="F39" i="48"/>
  <c r="E39" i="48"/>
  <c r="K28" i="48"/>
  <c r="O28" i="48"/>
  <c r="M28" i="48"/>
  <c r="L28" i="48"/>
  <c r="Q87" i="41"/>
  <c r="G86" i="41"/>
  <c r="F86" i="41"/>
  <c r="U75" i="41"/>
  <c r="T75" i="41"/>
  <c r="S75" i="41"/>
  <c r="R75" i="41"/>
  <c r="P75" i="41"/>
  <c r="O75" i="41"/>
  <c r="N75" i="41"/>
  <c r="M75" i="41"/>
  <c r="L75" i="41"/>
  <c r="K75" i="41"/>
  <c r="J75" i="41"/>
  <c r="J87" i="41"/>
  <c r="U94" i="41"/>
  <c r="U95" i="41"/>
  <c r="T94" i="41"/>
  <c r="T95" i="41"/>
  <c r="S94" i="41"/>
  <c r="S95" i="41"/>
  <c r="R94" i="41"/>
  <c r="R95" i="41"/>
  <c r="Q95" i="41"/>
  <c r="P94" i="41"/>
  <c r="P95" i="41"/>
  <c r="O95" i="41"/>
  <c r="N94" i="41"/>
  <c r="N95" i="41"/>
  <c r="M94" i="41"/>
  <c r="M95" i="41"/>
  <c r="L94" i="41"/>
  <c r="L95" i="41"/>
  <c r="K94" i="41"/>
  <c r="K95" i="41"/>
  <c r="J94" i="41"/>
  <c r="J95" i="41"/>
  <c r="G95" i="41"/>
  <c r="F94" i="41"/>
  <c r="F95" i="41"/>
  <c r="U62" i="41"/>
  <c r="T62" i="41"/>
  <c r="S62" i="41"/>
  <c r="S63" i="41"/>
  <c r="R62" i="41"/>
  <c r="R63" i="41"/>
  <c r="Q62" i="41"/>
  <c r="Q63" i="41"/>
  <c r="P62" i="41"/>
  <c r="O62" i="41"/>
  <c r="N62" i="41"/>
  <c r="M62" i="41"/>
  <c r="L62" i="41"/>
  <c r="K62" i="41"/>
  <c r="K63" i="41"/>
  <c r="J62" i="41"/>
  <c r="J63" i="41"/>
  <c r="G62" i="41"/>
  <c r="G63" i="41"/>
  <c r="F62" i="41"/>
  <c r="F63" i="41"/>
  <c r="E62" i="41"/>
  <c r="E63" i="41"/>
  <c r="T51" i="41"/>
  <c r="S51" i="41"/>
  <c r="R51" i="41"/>
  <c r="Q51" i="41"/>
  <c r="P51" i="41"/>
  <c r="O51" i="41"/>
  <c r="N51" i="41"/>
  <c r="M51" i="41"/>
  <c r="L51" i="41"/>
  <c r="K51" i="41"/>
  <c r="J51" i="41"/>
  <c r="G51" i="41"/>
  <c r="F51" i="41"/>
  <c r="U43" i="41"/>
  <c r="T43" i="41"/>
  <c r="S43" i="41"/>
  <c r="R43" i="41"/>
  <c r="Q43" i="41"/>
  <c r="P43" i="41"/>
  <c r="O43" i="41"/>
  <c r="N43" i="41"/>
  <c r="M43" i="41"/>
  <c r="L43" i="41"/>
  <c r="K43" i="41"/>
  <c r="J43" i="41"/>
  <c r="G43" i="41"/>
  <c r="G44" i="41"/>
  <c r="F43" i="41"/>
  <c r="E43" i="41"/>
  <c r="U39" i="41"/>
  <c r="T39" i="41"/>
  <c r="S39" i="41"/>
  <c r="R39" i="41"/>
  <c r="Q39" i="41"/>
  <c r="P39" i="41"/>
  <c r="O39" i="41"/>
  <c r="N39" i="41"/>
  <c r="L39" i="41"/>
  <c r="K39" i="41"/>
  <c r="J39" i="41"/>
  <c r="F39" i="41"/>
  <c r="J85" i="3"/>
  <c r="K85" i="3"/>
  <c r="I85" i="3"/>
  <c r="G85" i="3"/>
  <c r="H85" i="3"/>
  <c r="F85" i="3"/>
  <c r="D85" i="3"/>
  <c r="C85" i="3"/>
  <c r="J84" i="3"/>
  <c r="J83" i="3" s="1"/>
  <c r="I84" i="3"/>
  <c r="I83" i="3" s="1"/>
  <c r="G84" i="3"/>
  <c r="H84" i="3" s="1"/>
  <c r="P84" i="3" s="1"/>
  <c r="Q84" i="3" s="1"/>
  <c r="F84" i="3"/>
  <c r="F83" i="3"/>
  <c r="D84" i="3"/>
  <c r="C84" i="3"/>
  <c r="L84" i="3" s="1"/>
  <c r="M84" i="3" s="1"/>
  <c r="J82" i="3"/>
  <c r="K82" i="3" s="1"/>
  <c r="I82" i="3"/>
  <c r="G82" i="3"/>
  <c r="H82" i="3" s="1"/>
  <c r="F82" i="3"/>
  <c r="D82" i="3"/>
  <c r="N82" i="3" s="1"/>
  <c r="C82" i="3"/>
  <c r="J80" i="3"/>
  <c r="K80" i="3" s="1"/>
  <c r="I80" i="3"/>
  <c r="G80" i="3"/>
  <c r="H80" i="3" s="1"/>
  <c r="F80" i="3"/>
  <c r="D80" i="3"/>
  <c r="C80" i="3"/>
  <c r="J79" i="3"/>
  <c r="K79" i="3" s="1"/>
  <c r="I79" i="3"/>
  <c r="G79" i="3"/>
  <c r="H79" i="3" s="1"/>
  <c r="F79" i="3"/>
  <c r="D79" i="3"/>
  <c r="C79" i="3"/>
  <c r="J78" i="3"/>
  <c r="K78" i="3" s="1"/>
  <c r="I78" i="3"/>
  <c r="G78" i="3"/>
  <c r="H78" i="3" s="1"/>
  <c r="F78" i="3"/>
  <c r="D78" i="3"/>
  <c r="C78" i="3"/>
  <c r="J77" i="3"/>
  <c r="K77" i="3" s="1"/>
  <c r="I77" i="3"/>
  <c r="G77" i="3"/>
  <c r="H77" i="3" s="1"/>
  <c r="F77" i="3"/>
  <c r="D77" i="3"/>
  <c r="C77" i="3"/>
  <c r="J76" i="3"/>
  <c r="K76" i="3" s="1"/>
  <c r="I76" i="3"/>
  <c r="G76" i="3"/>
  <c r="H76" i="3" s="1"/>
  <c r="F76" i="3"/>
  <c r="D76" i="3"/>
  <c r="C76" i="3"/>
  <c r="J75" i="3"/>
  <c r="K75" i="3"/>
  <c r="I75" i="3"/>
  <c r="G75" i="3"/>
  <c r="H75" i="3"/>
  <c r="F75" i="3"/>
  <c r="D75" i="3"/>
  <c r="C75" i="3"/>
  <c r="J74" i="3"/>
  <c r="K74" i="3"/>
  <c r="I74" i="3"/>
  <c r="G74" i="3"/>
  <c r="H74" i="3"/>
  <c r="F74" i="3"/>
  <c r="D74" i="3"/>
  <c r="C74" i="3"/>
  <c r="J73" i="3"/>
  <c r="K73" i="3"/>
  <c r="I73" i="3"/>
  <c r="G73" i="3"/>
  <c r="H73" i="3"/>
  <c r="F73" i="3"/>
  <c r="D73" i="3"/>
  <c r="C73" i="3"/>
  <c r="J72" i="3"/>
  <c r="K72" i="3"/>
  <c r="I72" i="3"/>
  <c r="G72" i="3"/>
  <c r="H72" i="3"/>
  <c r="F72" i="3"/>
  <c r="D72" i="3"/>
  <c r="C72" i="3"/>
  <c r="J71" i="3"/>
  <c r="K71" i="3"/>
  <c r="I71" i="3"/>
  <c r="G71" i="3"/>
  <c r="H71" i="3"/>
  <c r="F71" i="3"/>
  <c r="D71" i="3"/>
  <c r="C71" i="3"/>
  <c r="J70" i="3"/>
  <c r="K70" i="3"/>
  <c r="I70" i="3"/>
  <c r="G70" i="3"/>
  <c r="H70" i="3"/>
  <c r="F70" i="3"/>
  <c r="D70" i="3"/>
  <c r="C70" i="3"/>
  <c r="J69" i="3"/>
  <c r="K69" i="3"/>
  <c r="I69" i="3"/>
  <c r="G69" i="3"/>
  <c r="H69" i="3"/>
  <c r="F69" i="3"/>
  <c r="D69" i="3"/>
  <c r="C69" i="3"/>
  <c r="J68" i="3"/>
  <c r="K68" i="3"/>
  <c r="I68" i="3"/>
  <c r="G68" i="3"/>
  <c r="H68" i="3"/>
  <c r="F68" i="3"/>
  <c r="D68" i="3"/>
  <c r="C68" i="3"/>
  <c r="J67" i="3"/>
  <c r="K67" i="3"/>
  <c r="I67" i="3"/>
  <c r="G67" i="3"/>
  <c r="H67" i="3"/>
  <c r="F67" i="3"/>
  <c r="D67" i="3"/>
  <c r="C67" i="3"/>
  <c r="J66" i="3"/>
  <c r="K66" i="3"/>
  <c r="I66" i="3"/>
  <c r="G66" i="3"/>
  <c r="H66" i="3"/>
  <c r="F66" i="3"/>
  <c r="D66" i="3"/>
  <c r="C66" i="3"/>
  <c r="J54" i="3"/>
  <c r="K54" i="3" s="1"/>
  <c r="I54" i="3"/>
  <c r="J53" i="3"/>
  <c r="K53" i="3" s="1"/>
  <c r="I53" i="3"/>
  <c r="G53" i="3"/>
  <c r="H53" i="3"/>
  <c r="F53" i="3"/>
  <c r="D53" i="3"/>
  <c r="C53" i="3"/>
  <c r="J52" i="3"/>
  <c r="K52" i="3" s="1"/>
  <c r="I52" i="3"/>
  <c r="G52" i="3"/>
  <c r="H52" i="3"/>
  <c r="F52" i="3"/>
  <c r="D52" i="3"/>
  <c r="N52" i="3" s="1"/>
  <c r="C52" i="3"/>
  <c r="J51" i="3"/>
  <c r="K51" i="3" s="1"/>
  <c r="P51" i="3" s="1"/>
  <c r="I51" i="3"/>
  <c r="G51" i="3"/>
  <c r="H51" i="3"/>
  <c r="F51" i="3"/>
  <c r="D51" i="3"/>
  <c r="E51" i="3"/>
  <c r="C51" i="3"/>
  <c r="J50" i="3"/>
  <c r="K50" i="3"/>
  <c r="I50" i="3"/>
  <c r="G50" i="3"/>
  <c r="H50" i="3"/>
  <c r="F50" i="3"/>
  <c r="D50" i="3"/>
  <c r="C50" i="3"/>
  <c r="J49" i="3"/>
  <c r="K49" i="3"/>
  <c r="I49" i="3"/>
  <c r="G49" i="3"/>
  <c r="H49" i="3"/>
  <c r="F49" i="3"/>
  <c r="D49" i="3"/>
  <c r="E49" i="3"/>
  <c r="C49" i="3"/>
  <c r="J48" i="3"/>
  <c r="K48" i="3"/>
  <c r="I48" i="3"/>
  <c r="G48" i="3"/>
  <c r="H48" i="3"/>
  <c r="F48" i="3"/>
  <c r="D48" i="3"/>
  <c r="E48" i="3"/>
  <c r="C48" i="3"/>
  <c r="J47" i="3"/>
  <c r="K47" i="3"/>
  <c r="I47" i="3"/>
  <c r="G47" i="3"/>
  <c r="H47" i="3"/>
  <c r="F47" i="3"/>
  <c r="D47" i="3"/>
  <c r="E47" i="3"/>
  <c r="C47" i="3"/>
  <c r="J46" i="3"/>
  <c r="K46" i="3"/>
  <c r="I46" i="3"/>
  <c r="G46" i="3"/>
  <c r="H46" i="3"/>
  <c r="F46" i="3"/>
  <c r="D46" i="3"/>
  <c r="E46" i="3"/>
  <c r="C46" i="3"/>
  <c r="J45" i="3"/>
  <c r="K45" i="3"/>
  <c r="I45" i="3"/>
  <c r="G45" i="3"/>
  <c r="H45" i="3"/>
  <c r="F45" i="3"/>
  <c r="D45" i="3"/>
  <c r="C45" i="3"/>
  <c r="J44" i="3"/>
  <c r="K44" i="3"/>
  <c r="I44" i="3"/>
  <c r="G44" i="3"/>
  <c r="H44" i="3"/>
  <c r="F44" i="3"/>
  <c r="D44" i="3"/>
  <c r="E44" i="3"/>
  <c r="C44" i="3"/>
  <c r="J43" i="3"/>
  <c r="I43" i="3"/>
  <c r="G43" i="3"/>
  <c r="H43" i="3"/>
  <c r="F43" i="3"/>
  <c r="D43" i="3"/>
  <c r="E43" i="3"/>
  <c r="C43" i="3"/>
  <c r="J42" i="3"/>
  <c r="K42" i="3"/>
  <c r="I42" i="3"/>
  <c r="G42" i="3"/>
  <c r="H42" i="3"/>
  <c r="F42" i="3"/>
  <c r="D42" i="3"/>
  <c r="E42" i="3"/>
  <c r="C42" i="3"/>
  <c r="J41" i="3"/>
  <c r="K41" i="3"/>
  <c r="I41" i="3"/>
  <c r="G41" i="3"/>
  <c r="H41" i="3"/>
  <c r="F41" i="3"/>
  <c r="D41" i="3"/>
  <c r="C41" i="3"/>
  <c r="J40" i="3"/>
  <c r="K40" i="3"/>
  <c r="I40" i="3"/>
  <c r="G40" i="3"/>
  <c r="H40" i="3"/>
  <c r="F40" i="3"/>
  <c r="D40" i="3"/>
  <c r="C40" i="3"/>
  <c r="J33" i="3"/>
  <c r="K33" i="3"/>
  <c r="I33" i="3"/>
  <c r="G33" i="3"/>
  <c r="F33" i="3"/>
  <c r="D33" i="3"/>
  <c r="E33" i="3"/>
  <c r="C33" i="3"/>
  <c r="J32" i="3"/>
  <c r="K32" i="3"/>
  <c r="I32" i="3"/>
  <c r="G32" i="3"/>
  <c r="H32" i="3"/>
  <c r="F32" i="3"/>
  <c r="D32" i="3"/>
  <c r="E32" i="3"/>
  <c r="C32" i="3"/>
  <c r="J31" i="3"/>
  <c r="K31" i="3"/>
  <c r="I31" i="3"/>
  <c r="G31" i="3"/>
  <c r="H31" i="3"/>
  <c r="F31" i="3"/>
  <c r="D31" i="3"/>
  <c r="C31" i="3"/>
  <c r="J30" i="3"/>
  <c r="K30" i="3"/>
  <c r="I30" i="3"/>
  <c r="G30" i="3"/>
  <c r="H30" i="3"/>
  <c r="F30" i="3"/>
  <c r="D30" i="3"/>
  <c r="E30" i="3"/>
  <c r="C30" i="3"/>
  <c r="G29" i="3"/>
  <c r="H29" i="3"/>
  <c r="F29" i="3"/>
  <c r="J28" i="3"/>
  <c r="K28" i="3"/>
  <c r="I28" i="3"/>
  <c r="G28" i="3"/>
  <c r="H28" i="3"/>
  <c r="F28" i="3"/>
  <c r="D28" i="3"/>
  <c r="E28" i="3"/>
  <c r="C28" i="3"/>
  <c r="J27" i="3"/>
  <c r="K27" i="3"/>
  <c r="I27" i="3"/>
  <c r="G27" i="3"/>
  <c r="H27" i="3"/>
  <c r="F27" i="3"/>
  <c r="D27" i="3"/>
  <c r="E27" i="3"/>
  <c r="C27" i="3"/>
  <c r="J26" i="3"/>
  <c r="K26" i="3"/>
  <c r="I26" i="3"/>
  <c r="G26" i="3"/>
  <c r="F26" i="3"/>
  <c r="D26" i="3"/>
  <c r="E26" i="3"/>
  <c r="C26" i="3"/>
  <c r="J25" i="3"/>
  <c r="K25" i="3"/>
  <c r="I25" i="3"/>
  <c r="G25" i="3"/>
  <c r="H25" i="3"/>
  <c r="F25" i="3"/>
  <c r="D25" i="3"/>
  <c r="C25" i="3"/>
  <c r="J24" i="3"/>
  <c r="K24" i="3"/>
  <c r="I24" i="3"/>
  <c r="G24" i="3"/>
  <c r="H24" i="3"/>
  <c r="F24" i="3"/>
  <c r="D24" i="3"/>
  <c r="C24" i="3"/>
  <c r="J23" i="3"/>
  <c r="K23" i="3"/>
  <c r="I23" i="3"/>
  <c r="G23" i="3"/>
  <c r="H23" i="3"/>
  <c r="F23" i="3"/>
  <c r="D23" i="3"/>
  <c r="C23" i="3"/>
  <c r="J22" i="3"/>
  <c r="K22" i="3"/>
  <c r="I22" i="3"/>
  <c r="G22" i="3"/>
  <c r="H22" i="3"/>
  <c r="F22" i="3"/>
  <c r="D22" i="3"/>
  <c r="E22" i="3"/>
  <c r="C22" i="3"/>
  <c r="J21" i="3"/>
  <c r="K21" i="3"/>
  <c r="I21" i="3"/>
  <c r="G21" i="3"/>
  <c r="H21" i="3"/>
  <c r="F21" i="3"/>
  <c r="D21" i="3"/>
  <c r="E21" i="3"/>
  <c r="C21" i="3"/>
  <c r="J20" i="3"/>
  <c r="K20" i="3"/>
  <c r="I20" i="3"/>
  <c r="G20" i="3"/>
  <c r="H20" i="3"/>
  <c r="F20" i="3"/>
  <c r="D20" i="3"/>
  <c r="E20" i="3"/>
  <c r="C20" i="3"/>
  <c r="J19" i="3"/>
  <c r="K19" i="3"/>
  <c r="I19" i="3"/>
  <c r="G19" i="3"/>
  <c r="H19" i="3"/>
  <c r="F19" i="3"/>
  <c r="D19" i="3"/>
  <c r="E19" i="3"/>
  <c r="C19" i="3"/>
  <c r="J18" i="3"/>
  <c r="K18" i="3"/>
  <c r="I18" i="3"/>
  <c r="G18" i="3"/>
  <c r="H18" i="3"/>
  <c r="F18" i="3"/>
  <c r="D18" i="3"/>
  <c r="C18" i="3"/>
  <c r="J17" i="3"/>
  <c r="K17" i="3"/>
  <c r="I17" i="3"/>
  <c r="G17" i="3"/>
  <c r="H17" i="3"/>
  <c r="F17" i="3"/>
  <c r="D17" i="3"/>
  <c r="C17" i="3"/>
  <c r="J16" i="3"/>
  <c r="K16" i="3"/>
  <c r="I16" i="3"/>
  <c r="G16" i="3"/>
  <c r="H16" i="3"/>
  <c r="F16" i="3"/>
  <c r="D16" i="3"/>
  <c r="E16" i="3"/>
  <c r="C16" i="3"/>
  <c r="J15" i="3"/>
  <c r="K15" i="3"/>
  <c r="I15" i="3"/>
  <c r="G15" i="3"/>
  <c r="H15" i="3"/>
  <c r="F15" i="3"/>
  <c r="D15" i="3"/>
  <c r="E15" i="3"/>
  <c r="C15" i="3"/>
  <c r="J14" i="3"/>
  <c r="K14" i="3"/>
  <c r="I14" i="3"/>
  <c r="G14" i="3"/>
  <c r="F14" i="3"/>
  <c r="D14" i="3"/>
  <c r="E14" i="3"/>
  <c r="C14" i="3"/>
  <c r="M192" i="2"/>
  <c r="L192" i="2"/>
  <c r="K192" i="2"/>
  <c r="H192" i="2"/>
  <c r="E192" i="2"/>
  <c r="M191" i="2"/>
  <c r="L191" i="2"/>
  <c r="K191" i="2"/>
  <c r="H191" i="2"/>
  <c r="E191" i="2"/>
  <c r="N190" i="2"/>
  <c r="M190" i="2"/>
  <c r="L190" i="2"/>
  <c r="M189" i="2"/>
  <c r="L189" i="2"/>
  <c r="K189" i="2"/>
  <c r="H189" i="2"/>
  <c r="E189" i="2"/>
  <c r="M188" i="2"/>
  <c r="L188" i="2"/>
  <c r="K188" i="2"/>
  <c r="H188" i="2"/>
  <c r="E188" i="2"/>
  <c r="M187" i="2"/>
  <c r="L187" i="2"/>
  <c r="K187" i="2"/>
  <c r="H187" i="2"/>
  <c r="E187" i="2"/>
  <c r="M186" i="2"/>
  <c r="L186" i="2"/>
  <c r="K186" i="2"/>
  <c r="H186" i="2"/>
  <c r="E186" i="2"/>
  <c r="M185" i="2"/>
  <c r="L185" i="2"/>
  <c r="E185" i="2"/>
  <c r="N185" i="2"/>
  <c r="M184" i="2"/>
  <c r="L184" i="2"/>
  <c r="K184" i="2"/>
  <c r="H184" i="2"/>
  <c r="E184" i="2"/>
  <c r="M183" i="2"/>
  <c r="L183" i="2"/>
  <c r="K183" i="2"/>
  <c r="H183" i="2"/>
  <c r="E183" i="2"/>
  <c r="M182" i="2"/>
  <c r="L182" i="2"/>
  <c r="K182" i="2"/>
  <c r="H182" i="2"/>
  <c r="E182" i="2"/>
  <c r="M181" i="2"/>
  <c r="L181" i="2"/>
  <c r="K181" i="2"/>
  <c r="H181" i="2"/>
  <c r="E181" i="2"/>
  <c r="M180" i="2"/>
  <c r="L180" i="2"/>
  <c r="K180" i="2"/>
  <c r="H180" i="2"/>
  <c r="E180" i="2"/>
  <c r="M179" i="2"/>
  <c r="L179" i="2"/>
  <c r="K179" i="2"/>
  <c r="H179" i="2"/>
  <c r="E179" i="2"/>
  <c r="M178" i="2"/>
  <c r="L178" i="2"/>
  <c r="K178" i="2"/>
  <c r="H178" i="2"/>
  <c r="E178" i="2"/>
  <c r="M177" i="2"/>
  <c r="L177" i="2"/>
  <c r="K177" i="2"/>
  <c r="H177" i="2"/>
  <c r="E177" i="2"/>
  <c r="M176" i="2"/>
  <c r="L176" i="2"/>
  <c r="K176" i="2"/>
  <c r="H176" i="2"/>
  <c r="E176" i="2"/>
  <c r="M175" i="2"/>
  <c r="L175" i="2"/>
  <c r="K175" i="2"/>
  <c r="H175" i="2"/>
  <c r="E175" i="2"/>
  <c r="M168" i="2"/>
  <c r="L168" i="2"/>
  <c r="K168" i="2"/>
  <c r="H168" i="2"/>
  <c r="E168" i="2"/>
  <c r="M167" i="2"/>
  <c r="L167" i="2"/>
  <c r="K167" i="2"/>
  <c r="H167" i="2"/>
  <c r="E167" i="2"/>
  <c r="M166" i="2"/>
  <c r="L166" i="2"/>
  <c r="K166" i="2"/>
  <c r="H166" i="2"/>
  <c r="E166" i="2"/>
  <c r="K165" i="2"/>
  <c r="H165" i="2"/>
  <c r="D165" i="2"/>
  <c r="M165" i="2"/>
  <c r="C165" i="2"/>
  <c r="L165" i="2"/>
  <c r="K164" i="2"/>
  <c r="H164" i="2"/>
  <c r="D164" i="2"/>
  <c r="M164" i="2"/>
  <c r="C164" i="2"/>
  <c r="L164" i="2"/>
  <c r="M163" i="2"/>
  <c r="L163" i="2"/>
  <c r="K163" i="2"/>
  <c r="H163" i="2"/>
  <c r="E163" i="2"/>
  <c r="M162" i="2"/>
  <c r="L162" i="2"/>
  <c r="K162" i="2"/>
  <c r="H162" i="2"/>
  <c r="E162" i="2"/>
  <c r="M161" i="2"/>
  <c r="L161" i="2"/>
  <c r="K161" i="2"/>
  <c r="H161" i="2"/>
  <c r="E161" i="2"/>
  <c r="M160" i="2"/>
  <c r="L160" i="2"/>
  <c r="K160" i="2"/>
  <c r="H160" i="2"/>
  <c r="E160" i="2"/>
  <c r="M159" i="2"/>
  <c r="L159" i="2"/>
  <c r="K159" i="2"/>
  <c r="H159" i="2"/>
  <c r="E159" i="2"/>
  <c r="M158" i="2"/>
  <c r="L158" i="2"/>
  <c r="K158" i="2"/>
  <c r="H158" i="2"/>
  <c r="E158" i="2"/>
  <c r="M157" i="2"/>
  <c r="L157" i="2"/>
  <c r="K157" i="2"/>
  <c r="H157" i="2"/>
  <c r="E157" i="2"/>
  <c r="M156" i="2"/>
  <c r="L156" i="2"/>
  <c r="K156" i="2"/>
  <c r="H156" i="2"/>
  <c r="E156" i="2"/>
  <c r="M155" i="2"/>
  <c r="L155" i="2"/>
  <c r="K155" i="2"/>
  <c r="H155" i="2"/>
  <c r="E155" i="2"/>
  <c r="M154" i="2"/>
  <c r="L154" i="2"/>
  <c r="K154" i="2"/>
  <c r="H154" i="2"/>
  <c r="E154" i="2"/>
  <c r="M153" i="2"/>
  <c r="L153" i="2"/>
  <c r="K153" i="2"/>
  <c r="H153" i="2"/>
  <c r="E153" i="2"/>
  <c r="M152" i="2"/>
  <c r="L152" i="2"/>
  <c r="K152" i="2"/>
  <c r="H152" i="2"/>
  <c r="E152" i="2"/>
  <c r="M151" i="2"/>
  <c r="L151" i="2"/>
  <c r="K151" i="2"/>
  <c r="H151" i="2"/>
  <c r="E151" i="2"/>
  <c r="M150" i="2"/>
  <c r="L150" i="2"/>
  <c r="K150" i="2"/>
  <c r="H150" i="2"/>
  <c r="E150" i="2"/>
  <c r="M143" i="2"/>
  <c r="L143" i="2"/>
  <c r="K143" i="2"/>
  <c r="H143" i="2"/>
  <c r="E143" i="2"/>
  <c r="M138" i="2"/>
  <c r="L138" i="2"/>
  <c r="K138" i="2"/>
  <c r="H138" i="2"/>
  <c r="E138" i="2"/>
  <c r="M136" i="2"/>
  <c r="L136" i="2"/>
  <c r="K136" i="2"/>
  <c r="H136" i="2"/>
  <c r="E136" i="2"/>
  <c r="M135" i="2"/>
  <c r="L135" i="2"/>
  <c r="K135" i="2"/>
  <c r="H135" i="2"/>
  <c r="E135" i="2"/>
  <c r="M134" i="2"/>
  <c r="L134" i="2"/>
  <c r="K134" i="2"/>
  <c r="H134" i="2"/>
  <c r="E134" i="2"/>
  <c r="K133" i="2"/>
  <c r="H133" i="2"/>
  <c r="D133" i="2"/>
  <c r="C133" i="2"/>
  <c r="L133" i="2"/>
  <c r="M132" i="2"/>
  <c r="L132" i="2"/>
  <c r="K132" i="2"/>
  <c r="H132" i="2"/>
  <c r="E132" i="2"/>
  <c r="M131" i="2"/>
  <c r="L131" i="2"/>
  <c r="K131" i="2"/>
  <c r="H131" i="2"/>
  <c r="E131" i="2"/>
  <c r="M130" i="2"/>
  <c r="L130" i="2"/>
  <c r="K130" i="2"/>
  <c r="H130" i="2"/>
  <c r="E130" i="2"/>
  <c r="M129" i="2"/>
  <c r="L129" i="2"/>
  <c r="K129" i="2"/>
  <c r="H129" i="2"/>
  <c r="E129" i="2"/>
  <c r="M128" i="2"/>
  <c r="L128" i="2"/>
  <c r="K128" i="2"/>
  <c r="H128" i="2"/>
  <c r="E128" i="2"/>
  <c r="M127" i="2"/>
  <c r="L127" i="2"/>
  <c r="K127" i="2"/>
  <c r="H127" i="2"/>
  <c r="E127" i="2"/>
  <c r="M126" i="2"/>
  <c r="L126" i="2"/>
  <c r="K126" i="2"/>
  <c r="H126" i="2"/>
  <c r="E126" i="2"/>
  <c r="M125" i="2"/>
  <c r="L125" i="2"/>
  <c r="K125" i="2"/>
  <c r="H125" i="2"/>
  <c r="E125" i="2"/>
  <c r="M124" i="2"/>
  <c r="L124" i="2"/>
  <c r="K124" i="2"/>
  <c r="H124" i="2"/>
  <c r="E124" i="2"/>
  <c r="M123" i="2"/>
  <c r="L123" i="2"/>
  <c r="K123" i="2"/>
  <c r="H123" i="2"/>
  <c r="E123" i="2"/>
  <c r="M122" i="2"/>
  <c r="L122" i="2"/>
  <c r="K122" i="2"/>
  <c r="H122" i="2"/>
  <c r="E122" i="2"/>
  <c r="M121" i="2"/>
  <c r="L121" i="2"/>
  <c r="K121" i="2"/>
  <c r="H121" i="2"/>
  <c r="E121" i="2"/>
  <c r="M120" i="2"/>
  <c r="L120" i="2"/>
  <c r="K120" i="2"/>
  <c r="H120" i="2"/>
  <c r="E120" i="2"/>
  <c r="M119" i="2"/>
  <c r="L119" i="2"/>
  <c r="K119" i="2"/>
  <c r="H119" i="2"/>
  <c r="E119" i="2"/>
  <c r="M118" i="2"/>
  <c r="L118" i="2"/>
  <c r="K118" i="2"/>
  <c r="H118" i="2"/>
  <c r="E118" i="2"/>
  <c r="N80" i="3"/>
  <c r="L80" i="3"/>
  <c r="M86" i="2"/>
  <c r="N78" i="3" s="1"/>
  <c r="L86" i="2"/>
  <c r="K86" i="2"/>
  <c r="H86" i="2"/>
  <c r="E86" i="2"/>
  <c r="E78" i="3" s="1"/>
  <c r="M85" i="2"/>
  <c r="N77" i="3" s="1"/>
  <c r="L85" i="2"/>
  <c r="K85" i="2"/>
  <c r="H85" i="2"/>
  <c r="E85" i="2"/>
  <c r="M84" i="2"/>
  <c r="N76" i="3"/>
  <c r="O75" i="3" s="1"/>
  <c r="L84" i="2"/>
  <c r="L76" i="3" s="1"/>
  <c r="K84" i="2"/>
  <c r="N84" i="2" s="1"/>
  <c r="P76" i="3" s="1"/>
  <c r="H84" i="2"/>
  <c r="E84" i="2"/>
  <c r="M83" i="2"/>
  <c r="L83" i="2"/>
  <c r="K83" i="2"/>
  <c r="H83" i="2"/>
  <c r="E83" i="2"/>
  <c r="M82" i="2"/>
  <c r="L82" i="2"/>
  <c r="K82" i="2"/>
  <c r="H82" i="2"/>
  <c r="E82" i="2"/>
  <c r="M81" i="2"/>
  <c r="L81" i="2"/>
  <c r="K81" i="2"/>
  <c r="H81" i="2"/>
  <c r="E81" i="2"/>
  <c r="M80" i="2"/>
  <c r="L80" i="2"/>
  <c r="K80" i="2"/>
  <c r="H80" i="2"/>
  <c r="E80" i="2"/>
  <c r="M79" i="2"/>
  <c r="L79" i="2"/>
  <c r="L71" i="3"/>
  <c r="K79" i="2"/>
  <c r="H79" i="2"/>
  <c r="E79" i="2"/>
  <c r="M78" i="2"/>
  <c r="L78" i="2"/>
  <c r="K78" i="2"/>
  <c r="H78" i="2"/>
  <c r="E78" i="2"/>
  <c r="E70" i="3"/>
  <c r="M77" i="2"/>
  <c r="L77" i="2"/>
  <c r="K77" i="2"/>
  <c r="H77" i="2"/>
  <c r="E77" i="2"/>
  <c r="M76" i="2"/>
  <c r="L76" i="2"/>
  <c r="K76" i="2"/>
  <c r="H76" i="2"/>
  <c r="E76" i="2"/>
  <c r="M75" i="2"/>
  <c r="L75" i="2"/>
  <c r="K75" i="2"/>
  <c r="H75" i="2"/>
  <c r="E75" i="2"/>
  <c r="M74" i="2"/>
  <c r="N66" i="3"/>
  <c r="O65" i="3"/>
  <c r="L74" i="2"/>
  <c r="K74" i="2"/>
  <c r="H74" i="2"/>
  <c r="E74" i="2"/>
  <c r="M67" i="2"/>
  <c r="L67" i="2"/>
  <c r="K67" i="2"/>
  <c r="H67" i="2"/>
  <c r="E67" i="2"/>
  <c r="M66" i="2"/>
  <c r="L66" i="2"/>
  <c r="K66" i="2"/>
  <c r="N66" i="2" s="1"/>
  <c r="H66" i="2"/>
  <c r="E66" i="2"/>
  <c r="J65" i="2"/>
  <c r="K65" i="2" s="1"/>
  <c r="I65" i="2"/>
  <c r="G65" i="2"/>
  <c r="G56" i="3" s="1"/>
  <c r="H56" i="3" s="1"/>
  <c r="F65" i="2"/>
  <c r="F56" i="3" s="1"/>
  <c r="D65" i="2"/>
  <c r="M65" i="2" s="1"/>
  <c r="C65" i="2"/>
  <c r="C56" i="3" s="1"/>
  <c r="L56" i="3" s="1"/>
  <c r="J64" i="2"/>
  <c r="J55" i="3"/>
  <c r="K55" i="3"/>
  <c r="I64" i="2"/>
  <c r="I55" i="3"/>
  <c r="G64" i="2"/>
  <c r="H64" i="2"/>
  <c r="F64" i="2"/>
  <c r="F55" i="3"/>
  <c r="K63" i="2"/>
  <c r="G63" i="2"/>
  <c r="G54" i="3"/>
  <c r="H54" i="3" s="1"/>
  <c r="F63" i="2"/>
  <c r="F54" i="3"/>
  <c r="L54" i="3" s="1"/>
  <c r="D63" i="2"/>
  <c r="C63" i="2"/>
  <c r="M62" i="2"/>
  <c r="L62" i="2"/>
  <c r="K62" i="2"/>
  <c r="H62" i="2"/>
  <c r="E62" i="2"/>
  <c r="M61" i="2"/>
  <c r="L61" i="2"/>
  <c r="K61" i="2"/>
  <c r="H61" i="2"/>
  <c r="E61" i="2"/>
  <c r="N61" i="2" s="1"/>
  <c r="M60" i="2"/>
  <c r="L60" i="2"/>
  <c r="K60" i="2"/>
  <c r="H60" i="2"/>
  <c r="E60" i="2"/>
  <c r="N60" i="2" s="1"/>
  <c r="M59" i="2"/>
  <c r="L59" i="2"/>
  <c r="K59" i="2"/>
  <c r="H59" i="2"/>
  <c r="E59" i="2"/>
  <c r="M58" i="2"/>
  <c r="L58" i="2"/>
  <c r="K58" i="2"/>
  <c r="H58" i="2"/>
  <c r="E58" i="2"/>
  <c r="M57" i="2"/>
  <c r="L57" i="2"/>
  <c r="K57" i="2"/>
  <c r="H57" i="2"/>
  <c r="E57" i="2"/>
  <c r="M56" i="2"/>
  <c r="L56" i="2"/>
  <c r="K56" i="2"/>
  <c r="H56" i="2"/>
  <c r="E56" i="2"/>
  <c r="M55" i="2"/>
  <c r="L55" i="2"/>
  <c r="K55" i="2"/>
  <c r="H55" i="2"/>
  <c r="E55" i="2"/>
  <c r="M54" i="2"/>
  <c r="L54" i="2"/>
  <c r="K54" i="2"/>
  <c r="H54" i="2"/>
  <c r="E54" i="2"/>
  <c r="M53" i="2"/>
  <c r="L53" i="2"/>
  <c r="K53" i="2"/>
  <c r="H53" i="2"/>
  <c r="E53" i="2"/>
  <c r="M52" i="2"/>
  <c r="L52" i="2"/>
  <c r="K52" i="2"/>
  <c r="H52" i="2"/>
  <c r="E52" i="2"/>
  <c r="M51" i="2"/>
  <c r="L51" i="2"/>
  <c r="K51" i="2"/>
  <c r="H51" i="2"/>
  <c r="E51" i="2"/>
  <c r="M50" i="2"/>
  <c r="L50" i="2"/>
  <c r="K50" i="2"/>
  <c r="H50" i="2"/>
  <c r="E50" i="2"/>
  <c r="M49" i="2"/>
  <c r="L49" i="2"/>
  <c r="K49" i="2"/>
  <c r="E49" i="2"/>
  <c r="M42" i="2"/>
  <c r="L42" i="2"/>
  <c r="K42" i="2"/>
  <c r="N42" i="2" s="1"/>
  <c r="H42" i="2"/>
  <c r="E42" i="2"/>
  <c r="M37" i="2"/>
  <c r="L37" i="2"/>
  <c r="K37" i="2"/>
  <c r="H37" i="2"/>
  <c r="E37" i="2"/>
  <c r="M35" i="2"/>
  <c r="L35" i="2"/>
  <c r="K35" i="2"/>
  <c r="H35" i="2"/>
  <c r="E35" i="2"/>
  <c r="M34" i="2"/>
  <c r="L34" i="2"/>
  <c r="K34" i="2"/>
  <c r="H34" i="2"/>
  <c r="E34" i="2"/>
  <c r="M33" i="2"/>
  <c r="L33" i="2"/>
  <c r="K33" i="2"/>
  <c r="H33" i="2"/>
  <c r="E33" i="2"/>
  <c r="J32" i="2"/>
  <c r="D32" i="2"/>
  <c r="I32" i="2"/>
  <c r="I29" i="3"/>
  <c r="H32" i="2"/>
  <c r="M31" i="2"/>
  <c r="L31" i="2"/>
  <c r="K31" i="2"/>
  <c r="H31" i="2"/>
  <c r="E31" i="2"/>
  <c r="M30" i="2"/>
  <c r="L30" i="2"/>
  <c r="K30" i="2"/>
  <c r="H30" i="2"/>
  <c r="E30" i="2"/>
  <c r="M29" i="2"/>
  <c r="L29" i="2"/>
  <c r="K29" i="2"/>
  <c r="H29" i="2"/>
  <c r="E29" i="2"/>
  <c r="M28" i="2"/>
  <c r="L28" i="2"/>
  <c r="K28" i="2"/>
  <c r="H28" i="2"/>
  <c r="E28" i="2"/>
  <c r="M27" i="2"/>
  <c r="L27" i="2"/>
  <c r="K27" i="2"/>
  <c r="H27" i="2"/>
  <c r="E27" i="2"/>
  <c r="M26" i="2"/>
  <c r="L26" i="2"/>
  <c r="K26" i="2"/>
  <c r="H26" i="2"/>
  <c r="E26" i="2"/>
  <c r="M25" i="2"/>
  <c r="L25" i="2"/>
  <c r="K25" i="2"/>
  <c r="H25" i="2"/>
  <c r="E25" i="2"/>
  <c r="M24" i="2"/>
  <c r="L24" i="2"/>
  <c r="K24" i="2"/>
  <c r="H24" i="2"/>
  <c r="E24" i="2"/>
  <c r="M23" i="2"/>
  <c r="L23" i="2"/>
  <c r="K23" i="2"/>
  <c r="H23" i="2"/>
  <c r="E23" i="2"/>
  <c r="M22" i="2"/>
  <c r="L22" i="2"/>
  <c r="K22" i="2"/>
  <c r="H22" i="2"/>
  <c r="E22" i="2"/>
  <c r="M21" i="2"/>
  <c r="L21" i="2"/>
  <c r="K21" i="2"/>
  <c r="H21" i="2"/>
  <c r="E21" i="2"/>
  <c r="M20" i="2"/>
  <c r="L20" i="2"/>
  <c r="K20" i="2"/>
  <c r="H20" i="2"/>
  <c r="E20" i="2"/>
  <c r="M19" i="2"/>
  <c r="L19" i="2"/>
  <c r="K19" i="2"/>
  <c r="H19" i="2"/>
  <c r="E19" i="2"/>
  <c r="M18" i="2"/>
  <c r="L18" i="2"/>
  <c r="K18" i="2"/>
  <c r="H18" i="2"/>
  <c r="E18" i="2"/>
  <c r="K17" i="2"/>
  <c r="H17" i="2"/>
  <c r="E17" i="2"/>
  <c r="K590" i="35"/>
  <c r="J55" i="51"/>
  <c r="J56" i="51"/>
  <c r="N74" i="3"/>
  <c r="N68" i="3"/>
  <c r="L70" i="3"/>
  <c r="M70" i="3"/>
  <c r="N73" i="3"/>
  <c r="H246" i="35"/>
  <c r="G246" i="35"/>
  <c r="G211" i="35"/>
  <c r="J46" i="38"/>
  <c r="J48" i="38"/>
  <c r="L66" i="3"/>
  <c r="M65" i="3"/>
  <c r="N69" i="3"/>
  <c r="O68" i="3"/>
  <c r="L74" i="3"/>
  <c r="N79" i="3"/>
  <c r="C54" i="3"/>
  <c r="N151" i="2"/>
  <c r="N159" i="2"/>
  <c r="M63" i="2"/>
  <c r="E66" i="3"/>
  <c r="L67" i="3"/>
  <c r="N70" i="3"/>
  <c r="E74" i="3"/>
  <c r="L75" i="3"/>
  <c r="D64" i="2"/>
  <c r="M64" i="2" s="1"/>
  <c r="E67" i="3"/>
  <c r="L68" i="3"/>
  <c r="E75" i="3"/>
  <c r="N80" i="2"/>
  <c r="N122" i="2"/>
  <c r="M46" i="38"/>
  <c r="M48" i="38"/>
  <c r="H489" i="35"/>
  <c r="I46" i="38"/>
  <c r="I48" i="38"/>
  <c r="K46" i="38"/>
  <c r="K48" i="38"/>
  <c r="L46" i="38"/>
  <c r="L48" i="38"/>
  <c r="N46" i="38"/>
  <c r="N48" i="38"/>
  <c r="E46" i="38"/>
  <c r="E48" i="38"/>
  <c r="F46" i="38"/>
  <c r="F48" i="38"/>
  <c r="G46" i="38"/>
  <c r="G48" i="38"/>
  <c r="K147" i="49"/>
  <c r="M98" i="41"/>
  <c r="N17" i="2"/>
  <c r="N138" i="2"/>
  <c r="N156" i="2"/>
  <c r="E63" i="2"/>
  <c r="L79" i="3"/>
  <c r="M78" i="3" s="1"/>
  <c r="E97" i="41"/>
  <c r="I57" i="41"/>
  <c r="K64" i="2"/>
  <c r="N125" i="2"/>
  <c r="N130" i="2"/>
  <c r="H63" i="2"/>
  <c r="H357" i="35"/>
  <c r="N87" i="41"/>
  <c r="F8" i="6"/>
  <c r="F9" i="6"/>
  <c r="F10" i="6" s="1"/>
  <c r="D47" i="7"/>
  <c r="E27" i="7"/>
  <c r="F146" i="49"/>
  <c r="K44" i="41"/>
  <c r="F85" i="51"/>
  <c r="J49" i="6"/>
  <c r="J52" i="6" s="1"/>
  <c r="D43" i="13"/>
  <c r="N99" i="49"/>
  <c r="V99" i="49"/>
  <c r="V148" i="49"/>
  <c r="G99" i="49"/>
  <c r="O132" i="49"/>
  <c r="M132" i="49"/>
  <c r="U132" i="49"/>
  <c r="R70" i="49"/>
  <c r="M99" i="49"/>
  <c r="U99" i="49"/>
  <c r="M70" i="49"/>
  <c r="U70" i="49"/>
  <c r="F99" i="49"/>
  <c r="G132" i="49"/>
  <c r="M147" i="49"/>
  <c r="U147" i="49"/>
  <c r="S87" i="48"/>
  <c r="G87" i="48"/>
  <c r="E44" i="48"/>
  <c r="L87" i="48"/>
  <c r="L97" i="41"/>
  <c r="Q44" i="41"/>
  <c r="T97" i="41"/>
  <c r="N44" i="41"/>
  <c r="F98" i="41"/>
  <c r="E44" i="41"/>
  <c r="K87" i="41"/>
  <c r="K99" i="41" s="1"/>
  <c r="S87" i="41"/>
  <c r="O87" i="41"/>
  <c r="E52" i="6"/>
  <c r="I37" i="13"/>
  <c r="D27" i="13"/>
  <c r="K104" i="49"/>
  <c r="K146" i="49"/>
  <c r="R132" i="49"/>
  <c r="L132" i="49"/>
  <c r="T132" i="49"/>
  <c r="P132" i="49"/>
  <c r="S132" i="49"/>
  <c r="R99" i="49"/>
  <c r="H70" i="49"/>
  <c r="H147" i="49"/>
  <c r="T70" i="49"/>
  <c r="N70" i="49"/>
  <c r="V147" i="49"/>
  <c r="J87" i="48"/>
  <c r="R87" i="48"/>
  <c r="L63" i="48"/>
  <c r="G63" i="48"/>
  <c r="P98" i="48"/>
  <c r="F44" i="48"/>
  <c r="F98" i="48"/>
  <c r="J28" i="48"/>
  <c r="G98" i="48"/>
  <c r="M63" i="41"/>
  <c r="U63" i="41"/>
  <c r="L44" i="41"/>
  <c r="J28" i="41"/>
  <c r="R28" i="41"/>
  <c r="O44" i="41"/>
  <c r="L85" i="3"/>
  <c r="N16" i="3"/>
  <c r="L49" i="3"/>
  <c r="L52" i="3"/>
  <c r="L24" i="3"/>
  <c r="L22" i="3"/>
  <c r="N23" i="3"/>
  <c r="N41" i="3"/>
  <c r="N50" i="3"/>
  <c r="L26" i="3"/>
  <c r="P49" i="3"/>
  <c r="N14" i="3"/>
  <c r="O13" i="3"/>
  <c r="P22" i="3"/>
  <c r="N32" i="3"/>
  <c r="L33" i="3"/>
  <c r="L40" i="3"/>
  <c r="M39" i="3"/>
  <c r="L50" i="3"/>
  <c r="E71" i="3"/>
  <c r="L72" i="3"/>
  <c r="M71" i="3"/>
  <c r="N82" i="2"/>
  <c r="N85" i="2"/>
  <c r="N119" i="2"/>
  <c r="N124" i="2"/>
  <c r="N127" i="2"/>
  <c r="N132" i="2"/>
  <c r="N188" i="2"/>
  <c r="L14" i="3"/>
  <c r="M13" i="3"/>
  <c r="L21" i="3"/>
  <c r="L23" i="3"/>
  <c r="L28" i="3"/>
  <c r="N23" i="2"/>
  <c r="N31" i="2"/>
  <c r="N33" i="2"/>
  <c r="N52" i="2"/>
  <c r="H14" i="3"/>
  <c r="P14" i="3"/>
  <c r="Q13" i="3"/>
  <c r="L19" i="3"/>
  <c r="L20" i="3"/>
  <c r="N43" i="3"/>
  <c r="L48" i="3"/>
  <c r="P30" i="3"/>
  <c r="N187" i="2"/>
  <c r="N19" i="3"/>
  <c r="N33" i="3"/>
  <c r="L43" i="3"/>
  <c r="K43" i="3"/>
  <c r="P43" i="3"/>
  <c r="P19" i="3"/>
  <c r="L42" i="3"/>
  <c r="N176" i="2"/>
  <c r="N179" i="2"/>
  <c r="N184" i="2"/>
  <c r="L32" i="3"/>
  <c r="N20" i="2"/>
  <c r="N22" i="2"/>
  <c r="N25" i="2"/>
  <c r="N28" i="2"/>
  <c r="N30" i="2"/>
  <c r="N35" i="2"/>
  <c r="N49" i="2"/>
  <c r="N51" i="2"/>
  <c r="N54" i="2"/>
  <c r="N57" i="2"/>
  <c r="N59" i="2"/>
  <c r="N67" i="2"/>
  <c r="E133" i="2"/>
  <c r="N133" i="2"/>
  <c r="M133" i="2"/>
  <c r="E25" i="3"/>
  <c r="P25" i="3"/>
  <c r="N25" i="3"/>
  <c r="G147" i="49"/>
  <c r="D83" i="3"/>
  <c r="E83" i="3" s="1"/>
  <c r="E84" i="3"/>
  <c r="N17" i="3"/>
  <c r="E17" i="3"/>
  <c r="P17" i="3"/>
  <c r="D69" i="13"/>
  <c r="N74" i="2"/>
  <c r="N56" i="2"/>
  <c r="N77" i="2"/>
  <c r="N18" i="2"/>
  <c r="N21" i="2"/>
  <c r="N24" i="2"/>
  <c r="N26" i="2"/>
  <c r="N29" i="2"/>
  <c r="N34" i="2"/>
  <c r="N37" i="2"/>
  <c r="N50" i="2"/>
  <c r="N53" i="2"/>
  <c r="N55" i="2"/>
  <c r="N58" i="2"/>
  <c r="E31" i="3"/>
  <c r="P31" i="3"/>
  <c r="N31" i="3"/>
  <c r="O97" i="41"/>
  <c r="H146" i="49"/>
  <c r="D70" i="13"/>
  <c r="N19" i="2"/>
  <c r="N27" i="2"/>
  <c r="N26" i="3"/>
  <c r="P46" i="3"/>
  <c r="F28" i="48"/>
  <c r="P28" i="48"/>
  <c r="J63" i="48"/>
  <c r="R63" i="48"/>
  <c r="M87" i="48"/>
  <c r="D54" i="3"/>
  <c r="N54" i="3" s="1"/>
  <c r="E68" i="3"/>
  <c r="N79" i="2"/>
  <c r="N72" i="3"/>
  <c r="E76" i="3"/>
  <c r="L77" i="3"/>
  <c r="M77" i="3" s="1"/>
  <c r="N118" i="2"/>
  <c r="N121" i="2"/>
  <c r="N126" i="2"/>
  <c r="N129" i="2"/>
  <c r="E165" i="2"/>
  <c r="N165" i="2"/>
  <c r="N189" i="2"/>
  <c r="E41" i="3"/>
  <c r="P41" i="3"/>
  <c r="N42" i="3"/>
  <c r="L44" i="3"/>
  <c r="N45" i="3"/>
  <c r="L53" i="3"/>
  <c r="G83" i="3"/>
  <c r="H83" i="3"/>
  <c r="K97" i="41"/>
  <c r="S97" i="41"/>
  <c r="L98" i="41"/>
  <c r="T98" i="41"/>
  <c r="M44" i="41"/>
  <c r="U44" i="41"/>
  <c r="L63" i="41"/>
  <c r="T63" i="41"/>
  <c r="R87" i="41"/>
  <c r="Q28" i="48"/>
  <c r="Q99" i="48"/>
  <c r="L98" i="48"/>
  <c r="N87" i="48"/>
  <c r="H42" i="49"/>
  <c r="L70" i="49"/>
  <c r="H99" i="49"/>
  <c r="K99" i="49"/>
  <c r="S99" i="49"/>
  <c r="N132" i="49"/>
  <c r="D8" i="13"/>
  <c r="F52" i="13"/>
  <c r="L30" i="3"/>
  <c r="L47" i="3"/>
  <c r="U98" i="41"/>
  <c r="J97" i="48"/>
  <c r="R97" i="48"/>
  <c r="M98" i="48"/>
  <c r="S146" i="49"/>
  <c r="L147" i="49"/>
  <c r="T147" i="49"/>
  <c r="D14" i="13"/>
  <c r="F37" i="13"/>
  <c r="G52" i="13"/>
  <c r="G53" i="13" s="1"/>
  <c r="N134" i="2"/>
  <c r="N150" i="2"/>
  <c r="N153" i="2"/>
  <c r="N158" i="2"/>
  <c r="N161" i="2"/>
  <c r="E164" i="2"/>
  <c r="N164" i="2"/>
  <c r="N167" i="2"/>
  <c r="N178" i="2"/>
  <c r="N181" i="2"/>
  <c r="N191" i="2"/>
  <c r="L16" i="3"/>
  <c r="N30" i="3"/>
  <c r="N84" i="3"/>
  <c r="N98" i="41"/>
  <c r="N63" i="41"/>
  <c r="L87" i="41"/>
  <c r="L99" i="41" s="1"/>
  <c r="T87" i="41"/>
  <c r="K97" i="48"/>
  <c r="S97" i="48"/>
  <c r="R28" i="48"/>
  <c r="M63" i="48"/>
  <c r="F87" i="48"/>
  <c r="P87" i="48"/>
  <c r="L146" i="49"/>
  <c r="T146" i="49"/>
  <c r="L99" i="49"/>
  <c r="T99" i="49"/>
  <c r="D16" i="13"/>
  <c r="H52" i="13"/>
  <c r="N78" i="2"/>
  <c r="N81" i="2"/>
  <c r="N86" i="2"/>
  <c r="P78" i="3" s="1"/>
  <c r="N120" i="2"/>
  <c r="N123" i="2"/>
  <c r="N128" i="2"/>
  <c r="N131" i="2"/>
  <c r="N186" i="2"/>
  <c r="P77" i="3"/>
  <c r="L15" i="3"/>
  <c r="P16" i="3"/>
  <c r="L17" i="3"/>
  <c r="L31" i="3"/>
  <c r="P44" i="3"/>
  <c r="L45" i="3"/>
  <c r="N49" i="3"/>
  <c r="L51" i="3"/>
  <c r="M50" i="3" s="1"/>
  <c r="L82" i="3"/>
  <c r="K84" i="3"/>
  <c r="N28" i="41"/>
  <c r="E98" i="41"/>
  <c r="I77" i="41" s="1"/>
  <c r="F44" i="41"/>
  <c r="P44" i="41"/>
  <c r="O63" i="41"/>
  <c r="M87" i="41"/>
  <c r="U87" i="41"/>
  <c r="O98" i="48"/>
  <c r="Q98" i="48"/>
  <c r="U146" i="49"/>
  <c r="P70" i="49"/>
  <c r="D23" i="13"/>
  <c r="I52" i="13"/>
  <c r="O73" i="3"/>
  <c r="E77" i="3"/>
  <c r="L78" i="3"/>
  <c r="N136" i="2"/>
  <c r="N152" i="2"/>
  <c r="N155" i="2"/>
  <c r="N160" i="2"/>
  <c r="N163" i="2"/>
  <c r="N166" i="2"/>
  <c r="N175" i="2"/>
  <c r="N180" i="2"/>
  <c r="N183" i="2"/>
  <c r="N192" i="2"/>
  <c r="N18" i="3"/>
  <c r="P20" i="3"/>
  <c r="N24" i="3"/>
  <c r="L25" i="3"/>
  <c r="N85" i="3"/>
  <c r="F97" i="41"/>
  <c r="G98" i="41"/>
  <c r="Q98" i="41"/>
  <c r="J44" i="41"/>
  <c r="R44" i="41"/>
  <c r="N97" i="41"/>
  <c r="N28" i="48"/>
  <c r="G44" i="48"/>
  <c r="F63" i="48"/>
  <c r="K87" i="48"/>
  <c r="F97" i="48"/>
  <c r="G70" i="49"/>
  <c r="Q70" i="49"/>
  <c r="P99" i="49"/>
  <c r="D29" i="13"/>
  <c r="D44" i="13"/>
  <c r="D48" i="13"/>
  <c r="D71" i="13"/>
  <c r="D15" i="21"/>
  <c r="F15" i="21" s="1"/>
  <c r="F73" i="51"/>
  <c r="N135" i="2"/>
  <c r="N143" i="2"/>
  <c r="N154" i="2"/>
  <c r="N157" i="2"/>
  <c r="N162" i="2"/>
  <c r="N168" i="2"/>
  <c r="N177" i="2"/>
  <c r="N182" i="2"/>
  <c r="L18" i="3"/>
  <c r="P21" i="3"/>
  <c r="N22" i="3"/>
  <c r="P32" i="3"/>
  <c r="L41" i="3"/>
  <c r="G97" i="41"/>
  <c r="Q97" i="41"/>
  <c r="J98" i="41"/>
  <c r="R98" i="41"/>
  <c r="G87" i="41"/>
  <c r="J98" i="48"/>
  <c r="R98" i="48"/>
  <c r="O87" i="48"/>
  <c r="Q147" i="49"/>
  <c r="S70" i="49"/>
  <c r="Q99" i="49"/>
  <c r="Q148" i="49" s="1"/>
  <c r="Q149" i="49" s="1"/>
  <c r="F72" i="13"/>
  <c r="N15" i="3"/>
  <c r="E32" i="2"/>
  <c r="D29" i="3"/>
  <c r="M32" i="2"/>
  <c r="P27" i="3"/>
  <c r="P70" i="3"/>
  <c r="P28" i="3"/>
  <c r="P48" i="3"/>
  <c r="E72" i="3"/>
  <c r="L69" i="3"/>
  <c r="L73" i="3"/>
  <c r="E24" i="3"/>
  <c r="P24" i="3"/>
  <c r="H26" i="3"/>
  <c r="P26" i="3"/>
  <c r="N28" i="3"/>
  <c r="H33" i="3"/>
  <c r="P33" i="3"/>
  <c r="N40" i="3"/>
  <c r="O39" i="3"/>
  <c r="N46" i="3"/>
  <c r="E80" i="3"/>
  <c r="N48" i="3"/>
  <c r="K32" i="2"/>
  <c r="C64" i="2"/>
  <c r="C55" i="3" s="1"/>
  <c r="L55" i="3" s="1"/>
  <c r="N20" i="3"/>
  <c r="L27" i="3"/>
  <c r="E40" i="3"/>
  <c r="P40" i="3"/>
  <c r="N51" i="3"/>
  <c r="O50" i="3" s="1"/>
  <c r="G55" i="3"/>
  <c r="H55" i="3" s="1"/>
  <c r="C32" i="2"/>
  <c r="E23" i="3"/>
  <c r="P23" i="3"/>
  <c r="N27" i="3"/>
  <c r="J29" i="3"/>
  <c r="K29" i="3"/>
  <c r="E45" i="3"/>
  <c r="P45" i="3"/>
  <c r="N47" i="3"/>
  <c r="E50" i="3"/>
  <c r="P50" i="3"/>
  <c r="N76" i="2"/>
  <c r="P15" i="3"/>
  <c r="P47" i="3"/>
  <c r="N67" i="3"/>
  <c r="O67" i="3"/>
  <c r="E69" i="3"/>
  <c r="N71" i="3"/>
  <c r="E73" i="3"/>
  <c r="N75" i="3"/>
  <c r="P42" i="3"/>
  <c r="N44" i="3"/>
  <c r="L63" i="2"/>
  <c r="N75" i="2"/>
  <c r="N83" i="2"/>
  <c r="E18" i="3"/>
  <c r="P18" i="3"/>
  <c r="N21" i="3"/>
  <c r="L46" i="3"/>
  <c r="E53" i="3"/>
  <c r="M28" i="41"/>
  <c r="U28" i="41"/>
  <c r="M97" i="41"/>
  <c r="U97" i="41"/>
  <c r="S44" i="41"/>
  <c r="S98" i="48"/>
  <c r="R147" i="49"/>
  <c r="R42" i="49"/>
  <c r="O99" i="49"/>
  <c r="O148" i="49" s="1"/>
  <c r="O149" i="49" s="1"/>
  <c r="F28" i="41"/>
  <c r="O28" i="41"/>
  <c r="T44" i="41"/>
  <c r="G28" i="41"/>
  <c r="P28" i="41"/>
  <c r="M97" i="48"/>
  <c r="M146" i="49"/>
  <c r="M42" i="49"/>
  <c r="Q28" i="41"/>
  <c r="E28" i="48"/>
  <c r="E97" i="48"/>
  <c r="I57" i="48"/>
  <c r="P97" i="48"/>
  <c r="E85" i="3"/>
  <c r="P85" i="3"/>
  <c r="J97" i="41"/>
  <c r="R97" i="41"/>
  <c r="K98" i="41"/>
  <c r="S98" i="41"/>
  <c r="K28" i="41"/>
  <c r="S28" i="41"/>
  <c r="K98" i="48"/>
  <c r="F42" i="49"/>
  <c r="P42" i="49"/>
  <c r="P146" i="49"/>
  <c r="T28" i="41"/>
  <c r="F87" i="41"/>
  <c r="U42" i="49"/>
  <c r="N97" i="48"/>
  <c r="V146" i="49"/>
  <c r="P147" i="49"/>
  <c r="N146" i="49"/>
  <c r="O97" i="48"/>
  <c r="O146" i="49"/>
  <c r="O42" i="49"/>
  <c r="R146" i="49"/>
  <c r="G97" i="48"/>
  <c r="Q97" i="48"/>
  <c r="G146" i="49"/>
  <c r="S147" i="49"/>
  <c r="E98" i="48"/>
  <c r="K132" i="49"/>
  <c r="N98" i="48"/>
  <c r="L97" i="48"/>
  <c r="N147" i="49"/>
  <c r="K42" i="49"/>
  <c r="S42" i="49"/>
  <c r="L42" i="49"/>
  <c r="T42" i="49"/>
  <c r="Q146" i="49"/>
  <c r="E52" i="13"/>
  <c r="F147" i="49"/>
  <c r="D65" i="13"/>
  <c r="O147" i="49"/>
  <c r="J52" i="13"/>
  <c r="D18" i="13"/>
  <c r="G37" i="13"/>
  <c r="D20" i="13"/>
  <c r="D61" i="13"/>
  <c r="E58" i="13"/>
  <c r="D9" i="13"/>
  <c r="D24" i="13"/>
  <c r="D13" i="13"/>
  <c r="D26" i="13"/>
  <c r="D33" i="13"/>
  <c r="G72" i="13"/>
  <c r="D30" i="13"/>
  <c r="D21" i="13"/>
  <c r="D11" i="13"/>
  <c r="D31" i="13"/>
  <c r="D22" i="13"/>
  <c r="D12" i="13"/>
  <c r="D15" i="13"/>
  <c r="D28" i="13"/>
  <c r="J58" i="51"/>
  <c r="H24" i="21"/>
  <c r="G73" i="51"/>
  <c r="J65" i="51" s="1"/>
  <c r="G509" i="35"/>
  <c r="G510" i="35"/>
  <c r="G558" i="35"/>
  <c r="G587" i="35"/>
  <c r="H389" i="35"/>
  <c r="G357" i="35"/>
  <c r="H383" i="35"/>
  <c r="H529" i="35"/>
  <c r="H46" i="38"/>
  <c r="H43" i="38"/>
  <c r="K583" i="35"/>
  <c r="K630" i="35"/>
  <c r="K628" i="35"/>
  <c r="K629" i="35"/>
  <c r="K622" i="35"/>
  <c r="J139" i="49"/>
  <c r="J140" i="49"/>
  <c r="J86" i="49"/>
  <c r="J89" i="49"/>
  <c r="J90" i="49"/>
  <c r="J85" i="49"/>
  <c r="J82" i="49"/>
  <c r="J88" i="49"/>
  <c r="J84" i="49"/>
  <c r="J87" i="49"/>
  <c r="J83" i="49"/>
  <c r="J91" i="49"/>
  <c r="J80" i="49"/>
  <c r="J81" i="49"/>
  <c r="J73" i="49"/>
  <c r="J74" i="49"/>
  <c r="I48" i="48"/>
  <c r="I47" i="48"/>
  <c r="P67" i="3"/>
  <c r="P74" i="3"/>
  <c r="O72" i="3"/>
  <c r="P68" i="3"/>
  <c r="Q67" i="3"/>
  <c r="M73" i="3"/>
  <c r="P75" i="3"/>
  <c r="M69" i="3"/>
  <c r="P72" i="3"/>
  <c r="M66" i="3"/>
  <c r="P79" i="3"/>
  <c r="G635" i="35"/>
  <c r="J630" i="35"/>
  <c r="G634" i="35"/>
  <c r="H634" i="35"/>
  <c r="J130" i="35"/>
  <c r="E42" i="7"/>
  <c r="E30" i="7"/>
  <c r="E21" i="7"/>
  <c r="E14" i="7"/>
  <c r="E29" i="7"/>
  <c r="E20" i="7"/>
  <c r="E13" i="7"/>
  <c r="E31" i="7"/>
  <c r="E41" i="7"/>
  <c r="E28" i="7"/>
  <c r="E19" i="7"/>
  <c r="E12" i="7"/>
  <c r="E45" i="7"/>
  <c r="E38" i="7"/>
  <c r="E33" i="7"/>
  <c r="E24" i="7"/>
  <c r="E9" i="7"/>
  <c r="E36" i="7"/>
  <c r="E8" i="7"/>
  <c r="E43" i="7"/>
  <c r="E22" i="7"/>
  <c r="E15" i="7"/>
  <c r="E39" i="7"/>
  <c r="E40" i="7"/>
  <c r="E32" i="7"/>
  <c r="E23" i="7"/>
  <c r="E46" i="7"/>
  <c r="E34" i="7"/>
  <c r="E44" i="7"/>
  <c r="E37" i="7"/>
  <c r="E10" i="7"/>
  <c r="E11" i="7"/>
  <c r="E16" i="7"/>
  <c r="E17" i="7"/>
  <c r="E18" i="7"/>
  <c r="E25" i="7"/>
  <c r="E26" i="7"/>
  <c r="E35" i="7"/>
  <c r="D36" i="13"/>
  <c r="J138" i="49"/>
  <c r="J111" i="49"/>
  <c r="J115" i="49"/>
  <c r="J40" i="49"/>
  <c r="J125" i="49"/>
  <c r="J30" i="49"/>
  <c r="J116" i="49"/>
  <c r="J14" i="49"/>
  <c r="J10" i="49"/>
  <c r="J11" i="49"/>
  <c r="I26" i="48"/>
  <c r="I79" i="48"/>
  <c r="O69" i="3"/>
  <c r="M74" i="3"/>
  <c r="M67" i="3"/>
  <c r="E64" i="2"/>
  <c r="N64" i="2" s="1"/>
  <c r="P73" i="3"/>
  <c r="K566" i="35"/>
  <c r="K570" i="35"/>
  <c r="K574" i="35"/>
  <c r="K565" i="35"/>
  <c r="K569" i="35"/>
  <c r="K573" i="35"/>
  <c r="K564" i="35"/>
  <c r="K568" i="35"/>
  <c r="K572" i="35"/>
  <c r="K567" i="35"/>
  <c r="K571" i="35"/>
  <c r="K518" i="35"/>
  <c r="H510" i="35"/>
  <c r="J66" i="51"/>
  <c r="H36" i="38"/>
  <c r="H48" i="38"/>
  <c r="H47" i="38"/>
  <c r="H32" i="38"/>
  <c r="J45" i="49"/>
  <c r="J53" i="49"/>
  <c r="J46" i="49"/>
  <c r="J54" i="49"/>
  <c r="J60" i="49"/>
  <c r="J47" i="49"/>
  <c r="J55" i="49"/>
  <c r="J48" i="49"/>
  <c r="J56" i="49"/>
  <c r="J49" i="49"/>
  <c r="J57" i="49"/>
  <c r="J59" i="49"/>
  <c r="J50" i="49"/>
  <c r="J51" i="49"/>
  <c r="J58" i="49"/>
  <c r="J52" i="49"/>
  <c r="J23" i="49"/>
  <c r="J9" i="49"/>
  <c r="J16" i="49"/>
  <c r="J20" i="49"/>
  <c r="J24" i="49"/>
  <c r="J27" i="49"/>
  <c r="J15" i="49"/>
  <c r="J12" i="49"/>
  <c r="J17" i="49"/>
  <c r="J21" i="49"/>
  <c r="J25" i="49"/>
  <c r="J28" i="49"/>
  <c r="J31" i="49"/>
  <c r="J29" i="49"/>
  <c r="J13" i="49"/>
  <c r="J18" i="49"/>
  <c r="J22" i="49"/>
  <c r="J26" i="49"/>
  <c r="J32" i="49"/>
  <c r="J19" i="49"/>
  <c r="J135" i="49"/>
  <c r="I56" i="41"/>
  <c r="I55" i="41"/>
  <c r="I58" i="41"/>
  <c r="I91" i="48"/>
  <c r="K148" i="49"/>
  <c r="K516" i="35"/>
  <c r="K515" i="35"/>
  <c r="J69" i="51"/>
  <c r="J101" i="49"/>
  <c r="J102" i="49"/>
  <c r="F49" i="38"/>
  <c r="H45" i="38"/>
  <c r="L49" i="38"/>
  <c r="I49" i="38"/>
  <c r="I13" i="41"/>
  <c r="I15" i="41"/>
  <c r="I8" i="41"/>
  <c r="I10" i="41"/>
  <c r="I12" i="41"/>
  <c r="I14" i="41"/>
  <c r="I16" i="41"/>
  <c r="I18" i="41"/>
  <c r="I20" i="41"/>
  <c r="I11" i="41"/>
  <c r="I17" i="41"/>
  <c r="I9" i="41"/>
  <c r="I19" i="41"/>
  <c r="K521" i="35"/>
  <c r="K522" i="35"/>
  <c r="H12" i="38"/>
  <c r="H11" i="38"/>
  <c r="I65" i="41"/>
  <c r="I91" i="41"/>
  <c r="I90" i="41"/>
  <c r="O49" i="3"/>
  <c r="P71" i="3"/>
  <c r="K528" i="35"/>
  <c r="K519" i="35"/>
  <c r="K523" i="35"/>
  <c r="K520" i="35"/>
  <c r="H35" i="38"/>
  <c r="G48" i="7"/>
  <c r="F69" i="13"/>
  <c r="D72" i="13"/>
  <c r="F73" i="13"/>
  <c r="D52" i="13"/>
  <c r="C49" i="13"/>
  <c r="F48" i="7"/>
  <c r="E99" i="48"/>
  <c r="H57" i="48"/>
  <c r="K586" i="35"/>
  <c r="H41" i="38"/>
  <c r="H44" i="38"/>
  <c r="G69" i="13"/>
  <c r="E67" i="13"/>
  <c r="J75" i="49"/>
  <c r="T148" i="49"/>
  <c r="L148" i="49"/>
  <c r="M148" i="49"/>
  <c r="R148" i="49"/>
  <c r="N148" i="49"/>
  <c r="J61" i="49"/>
  <c r="J62" i="49"/>
  <c r="J63" i="49"/>
  <c r="G148" i="49"/>
  <c r="U148" i="49"/>
  <c r="N99" i="48"/>
  <c r="J99" i="48"/>
  <c r="R99" i="48"/>
  <c r="L99" i="48"/>
  <c r="I55" i="48"/>
  <c r="I56" i="48"/>
  <c r="I58" i="48"/>
  <c r="I21" i="48"/>
  <c r="I49" i="48"/>
  <c r="O99" i="41"/>
  <c r="R99" i="41"/>
  <c r="I36" i="41"/>
  <c r="I48" i="41"/>
  <c r="I71" i="41"/>
  <c r="I21" i="41"/>
  <c r="M49" i="3"/>
  <c r="M44" i="3"/>
  <c r="Q40" i="3"/>
  <c r="Q39" i="3"/>
  <c r="M25" i="3"/>
  <c r="M26" i="3"/>
  <c r="Q16" i="3"/>
  <c r="M48" i="3"/>
  <c r="G49" i="38"/>
  <c r="J49" i="38"/>
  <c r="H29" i="38"/>
  <c r="N49" i="38"/>
  <c r="K49" i="38"/>
  <c r="H20" i="38"/>
  <c r="M49" i="38"/>
  <c r="G384" i="35"/>
  <c r="F148" i="49"/>
  <c r="H148" i="49"/>
  <c r="P148" i="49"/>
  <c r="M99" i="48"/>
  <c r="O99" i="48"/>
  <c r="P99" i="48"/>
  <c r="K99" i="48"/>
  <c r="Q99" i="41"/>
  <c r="G99" i="41"/>
  <c r="I73" i="41"/>
  <c r="I37" i="41"/>
  <c r="I74" i="41"/>
  <c r="I70" i="41"/>
  <c r="I61" i="41"/>
  <c r="J99" i="41"/>
  <c r="I46" i="41"/>
  <c r="I93" i="41"/>
  <c r="I49" i="41"/>
  <c r="I30" i="41"/>
  <c r="I31" i="41"/>
  <c r="I35" i="41"/>
  <c r="I34" i="41"/>
  <c r="I32" i="41"/>
  <c r="I33" i="41"/>
  <c r="I47" i="41"/>
  <c r="I54" i="41"/>
  <c r="I89" i="41"/>
  <c r="I92" i="41"/>
  <c r="I69" i="41"/>
  <c r="I38" i="41"/>
  <c r="I72" i="41"/>
  <c r="I53" i="41"/>
  <c r="M99" i="41"/>
  <c r="U99" i="41"/>
  <c r="I42" i="41"/>
  <c r="O45" i="3"/>
  <c r="M46" i="3"/>
  <c r="M23" i="3"/>
  <c r="O40" i="3"/>
  <c r="O16" i="3"/>
  <c r="O18" i="3"/>
  <c r="O23" i="3"/>
  <c r="O22" i="3"/>
  <c r="M21" i="3"/>
  <c r="Q19" i="3"/>
  <c r="M14" i="3"/>
  <c r="Q45" i="3"/>
  <c r="Q21" i="3"/>
  <c r="Q22" i="3"/>
  <c r="M24" i="3"/>
  <c r="Q18" i="3"/>
  <c r="Q15" i="3"/>
  <c r="M22" i="3"/>
  <c r="M47" i="3"/>
  <c r="O42" i="3"/>
  <c r="M20" i="3"/>
  <c r="O84" i="3"/>
  <c r="M30" i="3"/>
  <c r="O41" i="3"/>
  <c r="Q32" i="3"/>
  <c r="Q43" i="3"/>
  <c r="O32" i="3"/>
  <c r="M41" i="3"/>
  <c r="O71" i="3"/>
  <c r="M16" i="3"/>
  <c r="Q31" i="3"/>
  <c r="O30" i="3"/>
  <c r="O31" i="3"/>
  <c r="Q48" i="3"/>
  <c r="M31" i="3"/>
  <c r="M15" i="3"/>
  <c r="Q42" i="3"/>
  <c r="M19" i="3"/>
  <c r="M43" i="3"/>
  <c r="M32" i="3"/>
  <c r="M18" i="3"/>
  <c r="M17" i="3"/>
  <c r="Q26" i="3"/>
  <c r="O24" i="3"/>
  <c r="M42" i="3"/>
  <c r="M68" i="3"/>
  <c r="Q24" i="3"/>
  <c r="Q23" i="3"/>
  <c r="O17" i="3"/>
  <c r="P66" i="3"/>
  <c r="O25" i="3"/>
  <c r="Q25" i="3"/>
  <c r="G99" i="48"/>
  <c r="E66" i="13"/>
  <c r="S99" i="48"/>
  <c r="M52" i="3"/>
  <c r="Q41" i="3"/>
  <c r="O26" i="3"/>
  <c r="M40" i="3"/>
  <c r="N99" i="41"/>
  <c r="P69" i="3"/>
  <c r="Q20" i="3"/>
  <c r="S148" i="49"/>
  <c r="Q47" i="3"/>
  <c r="F99" i="48"/>
  <c r="O15" i="3"/>
  <c r="O14" i="3"/>
  <c r="O47" i="3"/>
  <c r="H27" i="38"/>
  <c r="H21" i="38"/>
  <c r="H10" i="38"/>
  <c r="H42" i="38"/>
  <c r="H9" i="38"/>
  <c r="H18" i="38"/>
  <c r="H8" i="38"/>
  <c r="H24" i="38"/>
  <c r="H17" i="38"/>
  <c r="H40" i="38"/>
  <c r="H23" i="38"/>
  <c r="H16" i="38"/>
  <c r="H39" i="38"/>
  <c r="H31" i="38"/>
  <c r="H15" i="38"/>
  <c r="H38" i="38"/>
  <c r="H30" i="38"/>
  <c r="H14" i="38"/>
  <c r="H37" i="38"/>
  <c r="H34" i="38"/>
  <c r="H28" i="38"/>
  <c r="H22" i="38"/>
  <c r="H13" i="38"/>
  <c r="M45" i="3"/>
  <c r="O74" i="3"/>
  <c r="N29" i="3"/>
  <c r="O28" i="3"/>
  <c r="E29" i="3"/>
  <c r="P29" i="3"/>
  <c r="Q29" i="3"/>
  <c r="I93" i="48"/>
  <c r="I46" i="48"/>
  <c r="I38" i="48"/>
  <c r="I32" i="48"/>
  <c r="I20" i="48"/>
  <c r="I16" i="48"/>
  <c r="I12" i="48"/>
  <c r="I8" i="48"/>
  <c r="I90" i="48"/>
  <c r="I92" i="48"/>
  <c r="I35" i="48"/>
  <c r="I31" i="48"/>
  <c r="I19" i="48"/>
  <c r="I15" i="48"/>
  <c r="I11" i="48"/>
  <c r="I74" i="48"/>
  <c r="I71" i="48"/>
  <c r="I54" i="48"/>
  <c r="I73" i="48"/>
  <c r="I70" i="48"/>
  <c r="I65" i="48"/>
  <c r="I53" i="48"/>
  <c r="I36" i="48"/>
  <c r="I33" i="48"/>
  <c r="I17" i="48"/>
  <c r="I13" i="48"/>
  <c r="I9" i="48"/>
  <c r="I10" i="48"/>
  <c r="I30" i="48"/>
  <c r="I72" i="48"/>
  <c r="I89" i="48"/>
  <c r="I69" i="48"/>
  <c r="I18" i="48"/>
  <c r="I37" i="48"/>
  <c r="I14" i="48"/>
  <c r="I34" i="48"/>
  <c r="J71" i="51"/>
  <c r="J113" i="49"/>
  <c r="J108" i="49"/>
  <c r="J79" i="49"/>
  <c r="J142" i="49"/>
  <c r="J134" i="49"/>
  <c r="J44" i="49"/>
  <c r="J112" i="49"/>
  <c r="J107" i="49"/>
  <c r="J137" i="49"/>
  <c r="J114" i="49"/>
  <c r="J109" i="49"/>
  <c r="J117" i="49"/>
  <c r="J8" i="49"/>
  <c r="J110" i="49"/>
  <c r="J136" i="49"/>
  <c r="J72" i="49"/>
  <c r="F99" i="41"/>
  <c r="O46" i="3"/>
  <c r="Q44" i="3"/>
  <c r="O66" i="3"/>
  <c r="Q27" i="3"/>
  <c r="N32" i="2"/>
  <c r="G247" i="35"/>
  <c r="O21" i="3"/>
  <c r="Q17" i="3"/>
  <c r="E62" i="13"/>
  <c r="T99" i="41"/>
  <c r="O27" i="3"/>
  <c r="L32" i="2"/>
  <c r="C29" i="3"/>
  <c r="L29" i="3"/>
  <c r="M27" i="3"/>
  <c r="O48" i="3"/>
  <c r="Q49" i="3"/>
  <c r="Q30" i="3"/>
  <c r="Q46" i="3"/>
  <c r="M72" i="3"/>
  <c r="F65" i="13"/>
  <c r="G65" i="13"/>
  <c r="J124" i="49"/>
  <c r="J126" i="49"/>
  <c r="J37" i="49"/>
  <c r="J97" i="49"/>
  <c r="J68" i="49"/>
  <c r="J36" i="49"/>
  <c r="J123" i="49"/>
  <c r="J96" i="49"/>
  <c r="J122" i="49"/>
  <c r="J127" i="49"/>
  <c r="J66" i="49"/>
  <c r="J67" i="49"/>
  <c r="J39" i="49"/>
  <c r="J38" i="49"/>
  <c r="J35" i="49"/>
  <c r="J128" i="49"/>
  <c r="S99" i="41"/>
  <c r="O19" i="3"/>
  <c r="O20" i="3"/>
  <c r="O70" i="3"/>
  <c r="I82" i="48"/>
  <c r="I77" i="48"/>
  <c r="I41" i="48"/>
  <c r="I85" i="48"/>
  <c r="I81" i="48"/>
  <c r="I76" i="48"/>
  <c r="I40" i="48"/>
  <c r="I25" i="48"/>
  <c r="I24" i="48"/>
  <c r="I78" i="48"/>
  <c r="I60" i="48"/>
  <c r="I80" i="48"/>
  <c r="I61" i="48"/>
  <c r="I42" i="48"/>
  <c r="I23" i="48"/>
  <c r="O44" i="3"/>
  <c r="G61" i="13"/>
  <c r="F61" i="13"/>
  <c r="E59" i="13"/>
  <c r="E63" i="13"/>
  <c r="Q14" i="3"/>
  <c r="O43" i="3"/>
  <c r="H247" i="35"/>
  <c r="K130" i="35"/>
  <c r="H384" i="35"/>
  <c r="K512" i="35"/>
  <c r="K525" i="35"/>
  <c r="K511" i="35"/>
  <c r="K524" i="35"/>
  <c r="K513" i="35"/>
  <c r="K526" i="35"/>
  <c r="K514" i="35"/>
  <c r="K517" i="35"/>
  <c r="K577" i="35"/>
  <c r="K548" i="35"/>
  <c r="K540" i="35"/>
  <c r="K532" i="35"/>
  <c r="K582" i="35"/>
  <c r="K563" i="35"/>
  <c r="K545" i="35"/>
  <c r="K537" i="35"/>
  <c r="K579" i="35"/>
  <c r="K560" i="35"/>
  <c r="K553" i="35"/>
  <c r="K542" i="35"/>
  <c r="K534" i="35"/>
  <c r="K576" i="35"/>
  <c r="K547" i="35"/>
  <c r="K539" i="35"/>
  <c r="K531" i="35"/>
  <c r="K581" i="35"/>
  <c r="K562" i="35"/>
  <c r="K555" i="35"/>
  <c r="K544" i="35"/>
  <c r="K536" i="35"/>
  <c r="K580" i="35"/>
  <c r="K530" i="35"/>
  <c r="K578" i="35"/>
  <c r="K561" i="35"/>
  <c r="K559" i="35"/>
  <c r="K554" i="35"/>
  <c r="K549" i="35"/>
  <c r="K543" i="35"/>
  <c r="K552" i="35"/>
  <c r="K541" i="35"/>
  <c r="K535" i="35"/>
  <c r="K584" i="35"/>
  <c r="K533" i="35"/>
  <c r="K575" i="35"/>
  <c r="K557" i="35"/>
  <c r="K538" i="35"/>
  <c r="K546" i="35"/>
  <c r="K527" i="35"/>
  <c r="K558" i="35"/>
  <c r="H390" i="35"/>
  <c r="K386" i="35"/>
  <c r="K585" i="35"/>
  <c r="K80" i="35"/>
  <c r="K112" i="35"/>
  <c r="K113" i="35"/>
  <c r="J112" i="35"/>
  <c r="J113" i="35"/>
  <c r="K126" i="35"/>
  <c r="K128" i="35"/>
  <c r="J126" i="35"/>
  <c r="J128" i="35"/>
  <c r="J441" i="35"/>
  <c r="J444" i="35"/>
  <c r="J442" i="35"/>
  <c r="J445" i="35"/>
  <c r="J443" i="35"/>
  <c r="J446" i="35"/>
  <c r="K446" i="35"/>
  <c r="K441" i="35"/>
  <c r="K444" i="35"/>
  <c r="K442" i="35"/>
  <c r="K445" i="35"/>
  <c r="K443" i="35"/>
  <c r="J628" i="35"/>
  <c r="J629" i="35"/>
  <c r="J449" i="35"/>
  <c r="J622" i="35"/>
  <c r="K491" i="35"/>
  <c r="K449" i="35"/>
  <c r="K365" i="35"/>
  <c r="K331" i="35"/>
  <c r="K330" i="35"/>
  <c r="J331" i="35"/>
  <c r="J330" i="35"/>
  <c r="J232" i="35"/>
  <c r="J231" i="35"/>
  <c r="K218" i="35"/>
  <c r="K232" i="35"/>
  <c r="K231" i="35"/>
  <c r="J583" i="35"/>
  <c r="J218" i="35"/>
  <c r="K209" i="35"/>
  <c r="K208" i="35"/>
  <c r="J209" i="35"/>
  <c r="J208" i="35"/>
  <c r="K170" i="35"/>
  <c r="K169" i="35"/>
  <c r="J170" i="35"/>
  <c r="J169" i="35"/>
  <c r="K105" i="35"/>
  <c r="K104" i="35"/>
  <c r="J80" i="35"/>
  <c r="J104" i="35"/>
  <c r="J105" i="35"/>
  <c r="K49" i="35"/>
  <c r="K50" i="35"/>
  <c r="J49" i="35"/>
  <c r="J50" i="35"/>
  <c r="K28" i="35"/>
  <c r="K29" i="35"/>
  <c r="K31" i="35"/>
  <c r="K30" i="35"/>
  <c r="J28" i="35"/>
  <c r="J31" i="35"/>
  <c r="J30" i="35"/>
  <c r="J29" i="35"/>
  <c r="K224" i="35"/>
  <c r="J386" i="35"/>
  <c r="I139" i="49"/>
  <c r="I140" i="49"/>
  <c r="I86" i="49"/>
  <c r="I89" i="49"/>
  <c r="I85" i="49"/>
  <c r="I87" i="49"/>
  <c r="I90" i="49"/>
  <c r="I88" i="49"/>
  <c r="I83" i="49"/>
  <c r="I84" i="49"/>
  <c r="I91" i="49"/>
  <c r="I82" i="49"/>
  <c r="I80" i="49"/>
  <c r="I81" i="49"/>
  <c r="I74" i="49"/>
  <c r="I73" i="49"/>
  <c r="H47" i="48"/>
  <c r="H48" i="48"/>
  <c r="H79" i="48"/>
  <c r="T100" i="48"/>
  <c r="Q73" i="3"/>
  <c r="Q74" i="3"/>
  <c r="Q68" i="3"/>
  <c r="Q71" i="3"/>
  <c r="Q72" i="3"/>
  <c r="G633" i="35"/>
  <c r="K439" i="35"/>
  <c r="K440" i="35"/>
  <c r="J440" i="35"/>
  <c r="J439" i="35"/>
  <c r="K389" i="35"/>
  <c r="J224" i="35"/>
  <c r="J365" i="35"/>
  <c r="K135" i="35"/>
  <c r="K141" i="35"/>
  <c r="J135" i="35"/>
  <c r="J141" i="35"/>
  <c r="K119" i="35"/>
  <c r="J119" i="35"/>
  <c r="K98" i="35"/>
  <c r="K115" i="35"/>
  <c r="K125" i="35"/>
  <c r="K123" i="35"/>
  <c r="J98" i="35"/>
  <c r="J125" i="35"/>
  <c r="J123" i="35"/>
  <c r="J115" i="35"/>
  <c r="J590" i="35"/>
  <c r="J348" i="35"/>
  <c r="J355" i="35"/>
  <c r="J450" i="35"/>
  <c r="J447" i="35"/>
  <c r="J466" i="35"/>
  <c r="K450" i="35"/>
  <c r="K447" i="35"/>
  <c r="K466" i="35"/>
  <c r="I115" i="49"/>
  <c r="I138" i="49"/>
  <c r="I111" i="49"/>
  <c r="I125" i="49"/>
  <c r="I30" i="49"/>
  <c r="I116" i="49"/>
  <c r="I14" i="49"/>
  <c r="I11" i="49"/>
  <c r="I10" i="49"/>
  <c r="P100" i="48"/>
  <c r="J565" i="35"/>
  <c r="J569" i="35"/>
  <c r="J573" i="35"/>
  <c r="J564" i="35"/>
  <c r="J568" i="35"/>
  <c r="J572" i="35"/>
  <c r="J567" i="35"/>
  <c r="J571" i="35"/>
  <c r="J566" i="35"/>
  <c r="J570" i="35"/>
  <c r="J574" i="35"/>
  <c r="J489" i="35"/>
  <c r="J518" i="35"/>
  <c r="J503" i="35"/>
  <c r="K448" i="35"/>
  <c r="K451" i="35"/>
  <c r="K396" i="35"/>
  <c r="K395" i="35"/>
  <c r="K394" i="35"/>
  <c r="K489" i="35"/>
  <c r="J394" i="35"/>
  <c r="J451" i="35"/>
  <c r="J448" i="35"/>
  <c r="J396" i="35"/>
  <c r="J395" i="35"/>
  <c r="K161" i="35"/>
  <c r="C52" i="13"/>
  <c r="C43" i="13"/>
  <c r="J94" i="49"/>
  <c r="I45" i="49"/>
  <c r="I49" i="49"/>
  <c r="I53" i="49"/>
  <c r="I57" i="49"/>
  <c r="I46" i="49"/>
  <c r="I50" i="49"/>
  <c r="I54" i="49"/>
  <c r="I60" i="49"/>
  <c r="I47" i="49"/>
  <c r="I51" i="49"/>
  <c r="I55" i="49"/>
  <c r="I58" i="49"/>
  <c r="I48" i="49"/>
  <c r="I52" i="49"/>
  <c r="I56" i="49"/>
  <c r="I59" i="49"/>
  <c r="I9" i="49"/>
  <c r="I16" i="49"/>
  <c r="I20" i="49"/>
  <c r="I24" i="49"/>
  <c r="I27" i="49"/>
  <c r="I23" i="49"/>
  <c r="I29" i="49"/>
  <c r="I12" i="49"/>
  <c r="I17" i="49"/>
  <c r="I21" i="49"/>
  <c r="I25" i="49"/>
  <c r="I28" i="49"/>
  <c r="I31" i="49"/>
  <c r="I13" i="49"/>
  <c r="I18" i="49"/>
  <c r="I22" i="49"/>
  <c r="I26" i="49"/>
  <c r="I32" i="49"/>
  <c r="I19" i="49"/>
  <c r="I15" i="49"/>
  <c r="I135" i="49"/>
  <c r="I96" i="49"/>
  <c r="I97" i="49"/>
  <c r="H91" i="48"/>
  <c r="J516" i="35"/>
  <c r="J515" i="35"/>
  <c r="J161" i="35"/>
  <c r="J222" i="35"/>
  <c r="J223" i="35"/>
  <c r="K222" i="35"/>
  <c r="K223" i="35"/>
  <c r="J90" i="35"/>
  <c r="J89" i="35"/>
  <c r="K90" i="35"/>
  <c r="K89" i="35"/>
  <c r="K47" i="35"/>
  <c r="K76" i="35"/>
  <c r="J47" i="35"/>
  <c r="J76" i="35"/>
  <c r="J180" i="35"/>
  <c r="J10" i="35"/>
  <c r="J14" i="35"/>
  <c r="J12" i="35"/>
  <c r="J9" i="35"/>
  <c r="J13" i="35"/>
  <c r="J11" i="35"/>
  <c r="K11" i="35"/>
  <c r="K10" i="35"/>
  <c r="K14" i="35"/>
  <c r="K9" i="35"/>
  <c r="K12" i="35"/>
  <c r="K13" i="35"/>
  <c r="E47" i="7"/>
  <c r="J143" i="49"/>
  <c r="I101" i="49"/>
  <c r="I102" i="49"/>
  <c r="J34" i="49"/>
  <c r="I66" i="48"/>
  <c r="F100" i="48"/>
  <c r="J103" i="49"/>
  <c r="N100" i="48"/>
  <c r="I66" i="41"/>
  <c r="Q70" i="3"/>
  <c r="J522" i="35"/>
  <c r="J521" i="35"/>
  <c r="K360" i="35"/>
  <c r="J360" i="35"/>
  <c r="K183" i="35"/>
  <c r="K184" i="35"/>
  <c r="J159" i="35"/>
  <c r="J183" i="35"/>
  <c r="J184" i="35"/>
  <c r="K158" i="35"/>
  <c r="K159" i="35"/>
  <c r="I130" i="35"/>
  <c r="K180" i="35"/>
  <c r="K17" i="35"/>
  <c r="J17" i="35"/>
  <c r="I94" i="48"/>
  <c r="E53" i="13"/>
  <c r="J53" i="13"/>
  <c r="H53" i="13"/>
  <c r="F53" i="13"/>
  <c r="I53" i="13"/>
  <c r="H54" i="48"/>
  <c r="H37" i="48"/>
  <c r="H81" i="48"/>
  <c r="H33" i="48"/>
  <c r="H35" i="48"/>
  <c r="H25" i="48"/>
  <c r="H74" i="48"/>
  <c r="H46" i="48"/>
  <c r="H58" i="48"/>
  <c r="H40" i="48"/>
  <c r="H34" i="48"/>
  <c r="H92" i="48"/>
  <c r="Q66" i="3"/>
  <c r="Q65" i="3"/>
  <c r="K248" i="35"/>
  <c r="K270" i="35"/>
  <c r="J248" i="35"/>
  <c r="J270" i="35"/>
  <c r="K249" i="35"/>
  <c r="J249" i="35"/>
  <c r="K490" i="35"/>
  <c r="K482" i="35"/>
  <c r="K492" i="35"/>
  <c r="J368" i="35"/>
  <c r="K368" i="35"/>
  <c r="K134" i="35"/>
  <c r="K168" i="35"/>
  <c r="K171" i="35"/>
  <c r="J168" i="35"/>
  <c r="J171" i="35"/>
  <c r="J116" i="35"/>
  <c r="J134" i="35"/>
  <c r="K79" i="35"/>
  <c r="K116" i="35"/>
  <c r="J79" i="35"/>
  <c r="J519" i="35"/>
  <c r="J520" i="35"/>
  <c r="J523" i="35"/>
  <c r="J76" i="49"/>
  <c r="J98" i="49"/>
  <c r="I147" i="49"/>
  <c r="H20" i="48"/>
  <c r="H56" i="48"/>
  <c r="H53" i="48"/>
  <c r="H85" i="48"/>
  <c r="H93" i="48"/>
  <c r="H98" i="48"/>
  <c r="H97" i="48"/>
  <c r="H13" i="48"/>
  <c r="H71" i="48"/>
  <c r="H65" i="48"/>
  <c r="H89" i="48"/>
  <c r="H41" i="48"/>
  <c r="H23" i="48"/>
  <c r="H60" i="48"/>
  <c r="H70" i="48"/>
  <c r="H11" i="48"/>
  <c r="H42" i="48"/>
  <c r="S100" i="48"/>
  <c r="H36" i="48"/>
  <c r="H78" i="48"/>
  <c r="H10" i="48"/>
  <c r="H15" i="48"/>
  <c r="H61" i="48"/>
  <c r="I43" i="48"/>
  <c r="H17" i="48"/>
  <c r="H9" i="48"/>
  <c r="H14" i="48"/>
  <c r="H19" i="48"/>
  <c r="H16" i="48"/>
  <c r="H72" i="48"/>
  <c r="K100" i="48"/>
  <c r="H32" i="48"/>
  <c r="O100" i="48"/>
  <c r="M100" i="48"/>
  <c r="H73" i="48"/>
  <c r="H31" i="48"/>
  <c r="H38" i="48"/>
  <c r="H69" i="48"/>
  <c r="H21" i="48"/>
  <c r="H49" i="48"/>
  <c r="H18" i="48"/>
  <c r="H80" i="48"/>
  <c r="H90" i="48"/>
  <c r="H8" i="48"/>
  <c r="H77" i="48"/>
  <c r="G100" i="48"/>
  <c r="H26" i="48"/>
  <c r="H24" i="48"/>
  <c r="H30" i="48"/>
  <c r="H76" i="48"/>
  <c r="H12" i="48"/>
  <c r="H82" i="48"/>
  <c r="R100" i="48"/>
  <c r="J100" i="48"/>
  <c r="H55" i="48"/>
  <c r="Q100" i="48"/>
  <c r="C44" i="13"/>
  <c r="J41" i="49"/>
  <c r="J69" i="49"/>
  <c r="J131" i="49"/>
  <c r="J121" i="49"/>
  <c r="H149" i="49"/>
  <c r="J64" i="49"/>
  <c r="L100" i="48"/>
  <c r="I59" i="48"/>
  <c r="I86" i="48"/>
  <c r="I27" i="48"/>
  <c r="I62" i="48"/>
  <c r="I75" i="48"/>
  <c r="I39" i="48"/>
  <c r="I50" i="48"/>
  <c r="I22" i="48"/>
  <c r="I75" i="41"/>
  <c r="I59" i="41"/>
  <c r="K627" i="35"/>
  <c r="J480" i="35"/>
  <c r="J483" i="35"/>
  <c r="J484" i="35"/>
  <c r="J482" i="35"/>
  <c r="J481" i="35"/>
  <c r="J485" i="35"/>
  <c r="K485" i="35"/>
  <c r="K481" i="35"/>
  <c r="K480" i="35"/>
  <c r="K483" i="35"/>
  <c r="K484" i="35"/>
  <c r="J292" i="35"/>
  <c r="K292" i="35"/>
  <c r="J246" i="35"/>
  <c r="K289" i="35"/>
  <c r="J289" i="35"/>
  <c r="K383" i="35"/>
  <c r="J111" i="35"/>
  <c r="K83" i="35"/>
  <c r="K75" i="35"/>
  <c r="J75" i="35"/>
  <c r="K211" i="35"/>
  <c r="E71" i="13"/>
  <c r="E70" i="13"/>
  <c r="E61" i="13"/>
  <c r="E65" i="13"/>
  <c r="G73" i="13"/>
  <c r="I50" i="41"/>
  <c r="I22" i="41"/>
  <c r="I39" i="41"/>
  <c r="I75" i="49"/>
  <c r="I61" i="49"/>
  <c r="I62" i="49"/>
  <c r="I63" i="49"/>
  <c r="I107" i="49"/>
  <c r="I40" i="49"/>
  <c r="M149" i="49"/>
  <c r="I127" i="49"/>
  <c r="I124" i="49"/>
  <c r="I146" i="49"/>
  <c r="G149" i="49"/>
  <c r="I112" i="49"/>
  <c r="U149" i="49"/>
  <c r="I68" i="49"/>
  <c r="I79" i="49"/>
  <c r="I123" i="49"/>
  <c r="I128" i="49"/>
  <c r="I44" i="49"/>
  <c r="I113" i="49"/>
  <c r="I35" i="49"/>
  <c r="I38" i="49"/>
  <c r="I114" i="49"/>
  <c r="I126" i="49"/>
  <c r="I72" i="49"/>
  <c r="I137" i="49"/>
  <c r="I8" i="49"/>
  <c r="I109" i="49"/>
  <c r="I39" i="49"/>
  <c r="I122" i="49"/>
  <c r="V149" i="49"/>
  <c r="I66" i="49"/>
  <c r="R149" i="49"/>
  <c r="I67" i="49"/>
  <c r="I117" i="49"/>
  <c r="I142" i="49"/>
  <c r="I36" i="49"/>
  <c r="I37" i="49"/>
  <c r="T149" i="49"/>
  <c r="I136" i="49"/>
  <c r="I110" i="49"/>
  <c r="I134" i="49"/>
  <c r="J509" i="35"/>
  <c r="K149" i="49"/>
  <c r="N149" i="49"/>
  <c r="L149" i="49"/>
  <c r="I108" i="49"/>
  <c r="S149" i="49"/>
  <c r="P149" i="49"/>
  <c r="I94" i="41"/>
  <c r="Q69" i="3"/>
  <c r="E69" i="13"/>
  <c r="K357" i="35"/>
  <c r="Q28" i="3"/>
  <c r="O29" i="3"/>
  <c r="K246" i="35"/>
  <c r="J627" i="35"/>
  <c r="C46" i="13"/>
  <c r="C48" i="13"/>
  <c r="C51" i="13"/>
  <c r="C47" i="13"/>
  <c r="C45" i="13"/>
  <c r="C50" i="13"/>
  <c r="J389" i="35"/>
  <c r="M29" i="3"/>
  <c r="M28" i="3"/>
  <c r="K476" i="35"/>
  <c r="K468" i="35"/>
  <c r="K461" i="35"/>
  <c r="K453" i="35"/>
  <c r="K436" i="35"/>
  <c r="K428" i="35"/>
  <c r="K420" i="35"/>
  <c r="K478" i="35"/>
  <c r="K470" i="35"/>
  <c r="K463" i="35"/>
  <c r="K475" i="35"/>
  <c r="K467" i="35"/>
  <c r="K460" i="35"/>
  <c r="K452" i="35"/>
  <c r="K435" i="35"/>
  <c r="K427" i="35"/>
  <c r="K419" i="35"/>
  <c r="K459" i="35"/>
  <c r="K424" i="35"/>
  <c r="K417" i="35"/>
  <c r="K409" i="35"/>
  <c r="K401" i="35"/>
  <c r="K508" i="35"/>
  <c r="K493" i="35"/>
  <c r="K488" i="35"/>
  <c r="K471" i="35"/>
  <c r="K462" i="35"/>
  <c r="K455" i="35"/>
  <c r="K438" i="35"/>
  <c r="K431" i="35"/>
  <c r="K414" i="35"/>
  <c r="K406" i="35"/>
  <c r="K398" i="35"/>
  <c r="K479" i="35"/>
  <c r="K458" i="35"/>
  <c r="K434" i="35"/>
  <c r="K411" i="35"/>
  <c r="K403" i="35"/>
  <c r="K392" i="35"/>
  <c r="K474" i="35"/>
  <c r="K454" i="35"/>
  <c r="K437" i="35"/>
  <c r="K430" i="35"/>
  <c r="K423" i="35"/>
  <c r="K416" i="35"/>
  <c r="K408" i="35"/>
  <c r="K400" i="35"/>
  <c r="K469" i="35"/>
  <c r="K457" i="35"/>
  <c r="K433" i="35"/>
  <c r="K426" i="35"/>
  <c r="K413" i="35"/>
  <c r="K405" i="35"/>
  <c r="K397" i="35"/>
  <c r="K477" i="35"/>
  <c r="K473" i="35"/>
  <c r="K429" i="35"/>
  <c r="K422" i="35"/>
  <c r="K410" i="35"/>
  <c r="K402" i="35"/>
  <c r="K391" i="35"/>
  <c r="K456" i="35"/>
  <c r="K421" i="35"/>
  <c r="K412" i="35"/>
  <c r="K404" i="35"/>
  <c r="K393" i="35"/>
  <c r="K425" i="35"/>
  <c r="K495" i="35"/>
  <c r="K472" i="35"/>
  <c r="K399" i="35"/>
  <c r="K418" i="35"/>
  <c r="K415" i="35"/>
  <c r="K432" i="35"/>
  <c r="K407" i="35"/>
  <c r="J211" i="35"/>
  <c r="J580" i="35"/>
  <c r="J561" i="35"/>
  <c r="J577" i="35"/>
  <c r="J501" i="35"/>
  <c r="J585" i="35"/>
  <c r="J582" i="35"/>
  <c r="J563" i="35"/>
  <c r="J579" i="35"/>
  <c r="J560" i="35"/>
  <c r="J504" i="35"/>
  <c r="J576" i="35"/>
  <c r="J500" i="35"/>
  <c r="J380" i="35"/>
  <c r="J502" i="35"/>
  <c r="J498" i="35"/>
  <c r="J377" i="35"/>
  <c r="J364" i="35"/>
  <c r="J578" i="35"/>
  <c r="J508" i="35"/>
  <c r="J497" i="35"/>
  <c r="J493" i="35"/>
  <c r="J374" i="35"/>
  <c r="J359" i="35"/>
  <c r="J559" i="35"/>
  <c r="J506" i="35"/>
  <c r="J379" i="35"/>
  <c r="J367" i="35"/>
  <c r="J376" i="35"/>
  <c r="J363" i="35"/>
  <c r="J586" i="35"/>
  <c r="J584" i="35"/>
  <c r="J496" i="35"/>
  <c r="J373" i="35"/>
  <c r="J358" i="35"/>
  <c r="J562" i="35"/>
  <c r="J499" i="35"/>
  <c r="J375" i="35"/>
  <c r="J505" i="35"/>
  <c r="J366" i="35"/>
  <c r="J235" i="35"/>
  <c r="J221" i="35"/>
  <c r="J241" i="35"/>
  <c r="J230" i="35"/>
  <c r="J581" i="35"/>
  <c r="J378" i="35"/>
  <c r="J238" i="35"/>
  <c r="J237" i="35"/>
  <c r="J213" i="35"/>
  <c r="J575" i="35"/>
  <c r="J245" i="35"/>
  <c r="J234" i="35"/>
  <c r="J240" i="35"/>
  <c r="J229" i="35"/>
  <c r="J217" i="35"/>
  <c r="J225" i="35"/>
  <c r="J233" i="35"/>
  <c r="J220" i="35"/>
  <c r="J216" i="35"/>
  <c r="J212" i="35"/>
  <c r="J239" i="35"/>
  <c r="J219" i="35"/>
  <c r="J214" i="35"/>
  <c r="J215" i="35"/>
  <c r="J228" i="35"/>
  <c r="J382" i="35"/>
  <c r="J362" i="35"/>
  <c r="J236" i="35"/>
  <c r="J495" i="35"/>
  <c r="J357" i="35"/>
  <c r="K385" i="35"/>
  <c r="K388" i="35"/>
  <c r="K617" i="35"/>
  <c r="K608" i="35"/>
  <c r="K600" i="35"/>
  <c r="K591" i="35"/>
  <c r="K623" i="35"/>
  <c r="K614" i="35"/>
  <c r="K605" i="35"/>
  <c r="K596" i="35"/>
  <c r="K619" i="35"/>
  <c r="K610" i="35"/>
  <c r="K625" i="35"/>
  <c r="K616" i="35"/>
  <c r="K607" i="35"/>
  <c r="K598" i="35"/>
  <c r="K589" i="35"/>
  <c r="K621" i="35"/>
  <c r="K612" i="35"/>
  <c r="K604" i="35"/>
  <c r="K595" i="35"/>
  <c r="K615" i="35"/>
  <c r="K611" i="35"/>
  <c r="K588" i="35"/>
  <c r="K609" i="35"/>
  <c r="K603" i="35"/>
  <c r="K594" i="35"/>
  <c r="K626" i="35"/>
  <c r="K602" i="35"/>
  <c r="K593" i="35"/>
  <c r="K620" i="35"/>
  <c r="K601" i="35"/>
  <c r="K592" i="35"/>
  <c r="K618" i="35"/>
  <c r="K597" i="35"/>
  <c r="K606" i="35"/>
  <c r="K624" i="35"/>
  <c r="K613" i="35"/>
  <c r="K599" i="35"/>
  <c r="J383" i="35"/>
  <c r="K377" i="35"/>
  <c r="K364" i="35"/>
  <c r="K374" i="35"/>
  <c r="K359" i="35"/>
  <c r="K355" i="35"/>
  <c r="K379" i="35"/>
  <c r="K367" i="35"/>
  <c r="K376" i="35"/>
  <c r="K363" i="35"/>
  <c r="K358" i="35"/>
  <c r="K354" i="35"/>
  <c r="K352" i="35"/>
  <c r="K345" i="35"/>
  <c r="K339" i="35"/>
  <c r="K329" i="35"/>
  <c r="K321" i="35"/>
  <c r="K378" i="35"/>
  <c r="K366" i="35"/>
  <c r="K380" i="35"/>
  <c r="K344" i="35"/>
  <c r="K338" i="35"/>
  <c r="K328" i="35"/>
  <c r="K320" i="35"/>
  <c r="K325" i="35"/>
  <c r="K309" i="35"/>
  <c r="K301" i="35"/>
  <c r="K293" i="35"/>
  <c r="K288" i="35"/>
  <c r="K280" i="35"/>
  <c r="K272" i="35"/>
  <c r="K263" i="35"/>
  <c r="K255" i="35"/>
  <c r="K362" i="35"/>
  <c r="K347" i="35"/>
  <c r="K341" i="35"/>
  <c r="K334" i="35"/>
  <c r="K314" i="35"/>
  <c r="K306" i="35"/>
  <c r="K298" i="35"/>
  <c r="K285" i="35"/>
  <c r="K277" i="35"/>
  <c r="K268" i="35"/>
  <c r="K260" i="35"/>
  <c r="K252" i="35"/>
  <c r="K350" i="35"/>
  <c r="K343" i="35"/>
  <c r="K337" i="35"/>
  <c r="K311" i="35"/>
  <c r="K303" i="35"/>
  <c r="K295" i="35"/>
  <c r="K282" i="35"/>
  <c r="K274" i="35"/>
  <c r="K265" i="35"/>
  <c r="K257" i="35"/>
  <c r="K375" i="35"/>
  <c r="K346" i="35"/>
  <c r="K340" i="35"/>
  <c r="K333" i="35"/>
  <c r="K324" i="35"/>
  <c r="K308" i="35"/>
  <c r="K300" i="35"/>
  <c r="K287" i="35"/>
  <c r="K279" i="35"/>
  <c r="K271" i="35"/>
  <c r="K262" i="35"/>
  <c r="K254" i="35"/>
  <c r="K349" i="35"/>
  <c r="K342" i="35"/>
  <c r="K336" i="35"/>
  <c r="K327" i="35"/>
  <c r="K316" i="35"/>
  <c r="K313" i="35"/>
  <c r="K305" i="35"/>
  <c r="K297" i="35"/>
  <c r="K284" i="35"/>
  <c r="K276" i="35"/>
  <c r="K267" i="35"/>
  <c r="K259" i="35"/>
  <c r="K251" i="35"/>
  <c r="K332" i="35"/>
  <c r="K323" i="35"/>
  <c r="K310" i="35"/>
  <c r="K302" i="35"/>
  <c r="K294" i="35"/>
  <c r="K281" i="35"/>
  <c r="K273" i="35"/>
  <c r="K264" i="35"/>
  <c r="K256" i="35"/>
  <c r="K335" i="35"/>
  <c r="K326" i="35"/>
  <c r="K315" i="35"/>
  <c r="K307" i="35"/>
  <c r="K299" i="35"/>
  <c r="K286" i="35"/>
  <c r="K278" i="35"/>
  <c r="K269" i="35"/>
  <c r="K261" i="35"/>
  <c r="K253" i="35"/>
  <c r="K304" i="35"/>
  <c r="K283" i="35"/>
  <c r="K266" i="35"/>
  <c r="K312" i="35"/>
  <c r="K296" i="35"/>
  <c r="K275" i="35"/>
  <c r="K348" i="35"/>
  <c r="K258" i="35"/>
  <c r="K322" i="35"/>
  <c r="K250" i="35"/>
  <c r="K356" i="35"/>
  <c r="K353" i="35"/>
  <c r="K373" i="35"/>
  <c r="K382" i="35"/>
  <c r="K351" i="35"/>
  <c r="K319" i="35"/>
  <c r="J554" i="35"/>
  <c r="J543" i="35"/>
  <c r="J535" i="35"/>
  <c r="J620" i="35"/>
  <c r="J611" i="35"/>
  <c r="J603" i="35"/>
  <c r="J594" i="35"/>
  <c r="J517" i="35"/>
  <c r="J548" i="35"/>
  <c r="J540" i="35"/>
  <c r="J532" i="35"/>
  <c r="J617" i="35"/>
  <c r="J608" i="35"/>
  <c r="J600" i="35"/>
  <c r="J591" i="35"/>
  <c r="J512" i="35"/>
  <c r="J479" i="35"/>
  <c r="J471" i="35"/>
  <c r="J456" i="35"/>
  <c r="J431" i="35"/>
  <c r="J423" i="35"/>
  <c r="J545" i="35"/>
  <c r="J537" i="35"/>
  <c r="J623" i="35"/>
  <c r="J614" i="35"/>
  <c r="J605" i="35"/>
  <c r="J553" i="35"/>
  <c r="J542" i="35"/>
  <c r="J534" i="35"/>
  <c r="J619" i="35"/>
  <c r="J610" i="35"/>
  <c r="J602" i="35"/>
  <c r="J593" i="35"/>
  <c r="J514" i="35"/>
  <c r="J473" i="35"/>
  <c r="J547" i="35"/>
  <c r="J539" i="35"/>
  <c r="J531" i="35"/>
  <c r="J625" i="35"/>
  <c r="J616" i="35"/>
  <c r="J607" i="35"/>
  <c r="J598" i="35"/>
  <c r="J589" i="35"/>
  <c r="J511" i="35"/>
  <c r="J478" i="35"/>
  <c r="J470" i="35"/>
  <c r="J463" i="35"/>
  <c r="J455" i="35"/>
  <c r="J438" i="35"/>
  <c r="J430" i="35"/>
  <c r="J422" i="35"/>
  <c r="J555" i="35"/>
  <c r="J544" i="35"/>
  <c r="J538" i="35"/>
  <c r="J624" i="35"/>
  <c r="J476" i="35"/>
  <c r="J467" i="35"/>
  <c r="J452" i="35"/>
  <c r="J435" i="35"/>
  <c r="J428" i="35"/>
  <c r="J421" i="35"/>
  <c r="J412" i="35"/>
  <c r="J404" i="35"/>
  <c r="J393" i="35"/>
  <c r="J536" i="35"/>
  <c r="J530" i="35"/>
  <c r="J621" i="35"/>
  <c r="J615" i="35"/>
  <c r="J588" i="35"/>
  <c r="J513" i="35"/>
  <c r="J475" i="35"/>
  <c r="J459" i="35"/>
  <c r="J424" i="35"/>
  <c r="J417" i="35"/>
  <c r="J409" i="35"/>
  <c r="J401" i="35"/>
  <c r="J385" i="35"/>
  <c r="J613" i="35"/>
  <c r="J609" i="35"/>
  <c r="J526" i="35"/>
  <c r="J488" i="35"/>
  <c r="J462" i="35"/>
  <c r="J427" i="35"/>
  <c r="J420" i="35"/>
  <c r="J414" i="35"/>
  <c r="J406" i="35"/>
  <c r="J398" i="35"/>
  <c r="J549" i="35"/>
  <c r="J626" i="35"/>
  <c r="J525" i="35"/>
  <c r="J458" i="35"/>
  <c r="J434" i="35"/>
  <c r="J411" i="35"/>
  <c r="J403" i="35"/>
  <c r="J392" i="35"/>
  <c r="J552" i="35"/>
  <c r="J541" i="35"/>
  <c r="J601" i="35"/>
  <c r="J592" i="35"/>
  <c r="J524" i="35"/>
  <c r="J474" i="35"/>
  <c r="J461" i="35"/>
  <c r="J454" i="35"/>
  <c r="J437" i="35"/>
  <c r="J419" i="35"/>
  <c r="J416" i="35"/>
  <c r="J408" i="35"/>
  <c r="J400" i="35"/>
  <c r="J334" i="35"/>
  <c r="J324" i="35"/>
  <c r="J533" i="35"/>
  <c r="J618" i="35"/>
  <c r="J597" i="35"/>
  <c r="J469" i="35"/>
  <c r="J457" i="35"/>
  <c r="J433" i="35"/>
  <c r="J426" i="35"/>
  <c r="J413" i="35"/>
  <c r="J405" i="35"/>
  <c r="J397" i="35"/>
  <c r="J356" i="35"/>
  <c r="J354" i="35"/>
  <c r="J546" i="35"/>
  <c r="J604" i="35"/>
  <c r="J595" i="35"/>
  <c r="J472" i="35"/>
  <c r="J468" i="35"/>
  <c r="J432" i="35"/>
  <c r="J425" i="35"/>
  <c r="J418" i="35"/>
  <c r="J415" i="35"/>
  <c r="J407" i="35"/>
  <c r="J399" i="35"/>
  <c r="J347" i="35"/>
  <c r="J341" i="35"/>
  <c r="J333" i="35"/>
  <c r="J323" i="35"/>
  <c r="J612" i="35"/>
  <c r="J527" i="35"/>
  <c r="J460" i="35"/>
  <c r="J429" i="35"/>
  <c r="J344" i="35"/>
  <c r="J338" i="35"/>
  <c r="J329" i="35"/>
  <c r="J322" i="35"/>
  <c r="J312" i="35"/>
  <c r="J304" i="35"/>
  <c r="J296" i="35"/>
  <c r="J283" i="35"/>
  <c r="J275" i="35"/>
  <c r="J266" i="35"/>
  <c r="J258" i="35"/>
  <c r="J250" i="35"/>
  <c r="J606" i="35"/>
  <c r="J477" i="35"/>
  <c r="J402" i="35"/>
  <c r="J351" i="35"/>
  <c r="J325" i="35"/>
  <c r="J309" i="35"/>
  <c r="J301" i="35"/>
  <c r="J293" i="35"/>
  <c r="J288" i="35"/>
  <c r="J280" i="35"/>
  <c r="J272" i="35"/>
  <c r="J263" i="35"/>
  <c r="J255" i="35"/>
  <c r="J453" i="35"/>
  <c r="J328" i="35"/>
  <c r="J321" i="35"/>
  <c r="J314" i="35"/>
  <c r="J298" i="35"/>
  <c r="J285" i="35"/>
  <c r="J277" i="35"/>
  <c r="J268" i="35"/>
  <c r="J260" i="35"/>
  <c r="J252" i="35"/>
  <c r="J192" i="35"/>
  <c r="J176" i="35"/>
  <c r="J165" i="35"/>
  <c r="J350" i="35"/>
  <c r="J343" i="35"/>
  <c r="J337" i="35"/>
  <c r="J311" i="35"/>
  <c r="J303" i="35"/>
  <c r="J295" i="35"/>
  <c r="J282" i="35"/>
  <c r="J274" i="35"/>
  <c r="J265" i="35"/>
  <c r="J257" i="35"/>
  <c r="J557" i="35"/>
  <c r="J391" i="35"/>
  <c r="J353" i="35"/>
  <c r="J346" i="35"/>
  <c r="J340" i="35"/>
  <c r="J320" i="35"/>
  <c r="J308" i="35"/>
  <c r="J300" i="35"/>
  <c r="J287" i="35"/>
  <c r="J279" i="35"/>
  <c r="J271" i="35"/>
  <c r="J262" i="35"/>
  <c r="J254" i="35"/>
  <c r="J596" i="35"/>
  <c r="J349" i="35"/>
  <c r="J342" i="35"/>
  <c r="J336" i="35"/>
  <c r="J327" i="35"/>
  <c r="J316" i="35"/>
  <c r="J313" i="35"/>
  <c r="J305" i="35"/>
  <c r="J297" i="35"/>
  <c r="J284" i="35"/>
  <c r="J276" i="35"/>
  <c r="J267" i="35"/>
  <c r="J259" i="35"/>
  <c r="J251" i="35"/>
  <c r="J436" i="35"/>
  <c r="J410" i="35"/>
  <c r="J345" i="35"/>
  <c r="J339" i="35"/>
  <c r="J332" i="35"/>
  <c r="J310" i="35"/>
  <c r="J302" i="35"/>
  <c r="J294" i="35"/>
  <c r="J281" i="35"/>
  <c r="J273" i="35"/>
  <c r="J264" i="35"/>
  <c r="J256" i="35"/>
  <c r="J203" i="35"/>
  <c r="J196" i="35"/>
  <c r="J181" i="35"/>
  <c r="J173" i="35"/>
  <c r="J157" i="35"/>
  <c r="J352" i="35"/>
  <c r="J269" i="35"/>
  <c r="J177" i="35"/>
  <c r="J166" i="35"/>
  <c r="J158" i="35"/>
  <c r="J153" i="35"/>
  <c r="J145" i="35"/>
  <c r="J133" i="35"/>
  <c r="J109" i="35"/>
  <c r="J87" i="35"/>
  <c r="J72" i="35"/>
  <c r="J64" i="35"/>
  <c r="J315" i="35"/>
  <c r="J150" i="35"/>
  <c r="J142" i="35"/>
  <c r="J120" i="35"/>
  <c r="J107" i="35"/>
  <c r="J94" i="35"/>
  <c r="J84" i="35"/>
  <c r="J69" i="35"/>
  <c r="J61" i="35"/>
  <c r="J335" i="35"/>
  <c r="J299" i="35"/>
  <c r="J278" i="35"/>
  <c r="J202" i="35"/>
  <c r="J195" i="35"/>
  <c r="J147" i="35"/>
  <c r="J137" i="35"/>
  <c r="J117" i="35"/>
  <c r="J102" i="35"/>
  <c r="J91" i="35"/>
  <c r="J77" i="35"/>
  <c r="J74" i="35"/>
  <c r="J66" i="35"/>
  <c r="J261" i="35"/>
  <c r="J198" i="35"/>
  <c r="J191" i="35"/>
  <c r="J185" i="35"/>
  <c r="J152" i="35"/>
  <c r="J144" i="35"/>
  <c r="J132" i="35"/>
  <c r="J129" i="35"/>
  <c r="J97" i="35"/>
  <c r="J86" i="35"/>
  <c r="J71" i="35"/>
  <c r="J63" i="35"/>
  <c r="J54" i="35"/>
  <c r="J43" i="35"/>
  <c r="J326" i="35"/>
  <c r="J307" i="35"/>
  <c r="J207" i="35"/>
  <c r="J201" i="35"/>
  <c r="J194" i="35"/>
  <c r="J179" i="35"/>
  <c r="J172" i="35"/>
  <c r="J162" i="35"/>
  <c r="J149" i="35"/>
  <c r="J106" i="35"/>
  <c r="J93" i="35"/>
  <c r="J68" i="35"/>
  <c r="J59" i="35"/>
  <c r="J51" i="35"/>
  <c r="J35" i="35"/>
  <c r="J23" i="35"/>
  <c r="J204" i="35"/>
  <c r="J197" i="35"/>
  <c r="J190" i="35"/>
  <c r="J164" i="35"/>
  <c r="J156" i="35"/>
  <c r="J154" i="35"/>
  <c r="J146" i="35"/>
  <c r="J136" i="35"/>
  <c r="J114" i="35"/>
  <c r="J110" i="35"/>
  <c r="J101" i="35"/>
  <c r="J88" i="35"/>
  <c r="J73" i="35"/>
  <c r="J65" i="35"/>
  <c r="J56" i="35"/>
  <c r="J45" i="35"/>
  <c r="J40" i="35"/>
  <c r="J32" i="35"/>
  <c r="J20" i="35"/>
  <c r="J286" i="35"/>
  <c r="J189" i="35"/>
  <c r="J182" i="35"/>
  <c r="J174" i="35"/>
  <c r="J163" i="35"/>
  <c r="J155" i="35"/>
  <c r="J148" i="35"/>
  <c r="J138" i="35"/>
  <c r="J118" i="35"/>
  <c r="J103" i="35"/>
  <c r="J92" i="35"/>
  <c r="J78" i="35"/>
  <c r="J67" i="35"/>
  <c r="J48" i="35"/>
  <c r="J34" i="35"/>
  <c r="J22" i="35"/>
  <c r="J151" i="35"/>
  <c r="J131" i="35"/>
  <c r="J108" i="35"/>
  <c r="J53" i="35"/>
  <c r="J38" i="35"/>
  <c r="J25" i="35"/>
  <c r="J21" i="35"/>
  <c r="J206" i="35"/>
  <c r="J178" i="35"/>
  <c r="J160" i="35"/>
  <c r="J44" i="35"/>
  <c r="J37" i="35"/>
  <c r="J33" i="35"/>
  <c r="J193" i="35"/>
  <c r="J62" i="35"/>
  <c r="J52" i="35"/>
  <c r="J24" i="35"/>
  <c r="J143" i="35"/>
  <c r="J36" i="35"/>
  <c r="J19" i="35"/>
  <c r="J85" i="35"/>
  <c r="J57" i="35"/>
  <c r="J42" i="35"/>
  <c r="J27" i="35"/>
  <c r="J70" i="35"/>
  <c r="J319" i="35"/>
  <c r="J200" i="35"/>
  <c r="J167" i="35"/>
  <c r="J39" i="35"/>
  <c r="J253" i="35"/>
  <c r="J121" i="35"/>
  <c r="J96" i="35"/>
  <c r="J55" i="35"/>
  <c r="J18" i="35"/>
  <c r="J15" i="35"/>
  <c r="J46" i="35"/>
  <c r="J26" i="35"/>
  <c r="J140" i="35"/>
  <c r="J122" i="35"/>
  <c r="J528" i="35"/>
  <c r="J199" i="35"/>
  <c r="J58" i="35"/>
  <c r="J83" i="35"/>
  <c r="J306" i="35"/>
  <c r="J558" i="35"/>
  <c r="J210" i="35"/>
  <c r="J388" i="35"/>
  <c r="J599" i="35"/>
  <c r="J41" i="35"/>
  <c r="J175" i="35"/>
  <c r="J188" i="35"/>
  <c r="J60" i="35"/>
  <c r="K509" i="35"/>
  <c r="K241" i="35"/>
  <c r="K230" i="35"/>
  <c r="K219" i="35"/>
  <c r="K238" i="35"/>
  <c r="K237" i="35"/>
  <c r="K234" i="35"/>
  <c r="K204" i="35"/>
  <c r="K197" i="35"/>
  <c r="K189" i="35"/>
  <c r="K182" i="35"/>
  <c r="K174" i="35"/>
  <c r="K240" i="35"/>
  <c r="K229" i="35"/>
  <c r="K225" i="35"/>
  <c r="K212" i="35"/>
  <c r="K233" i="35"/>
  <c r="K220" i="35"/>
  <c r="K239" i="35"/>
  <c r="K216" i="35"/>
  <c r="K214" i="35"/>
  <c r="K200" i="35"/>
  <c r="K193" i="35"/>
  <c r="K177" i="35"/>
  <c r="K166" i="35"/>
  <c r="K217" i="35"/>
  <c r="K192" i="35"/>
  <c r="K150" i="35"/>
  <c r="K142" i="35"/>
  <c r="K120" i="35"/>
  <c r="K107" i="35"/>
  <c r="K94" i="35"/>
  <c r="K84" i="35"/>
  <c r="K69" i="35"/>
  <c r="K61" i="35"/>
  <c r="K202" i="35"/>
  <c r="K195" i="35"/>
  <c r="K181" i="35"/>
  <c r="K173" i="35"/>
  <c r="K147" i="35"/>
  <c r="K137" i="35"/>
  <c r="K117" i="35"/>
  <c r="K102" i="35"/>
  <c r="K91" i="35"/>
  <c r="K77" i="35"/>
  <c r="K74" i="35"/>
  <c r="K66" i="35"/>
  <c r="K57" i="35"/>
  <c r="K235" i="35"/>
  <c r="K215" i="35"/>
  <c r="K198" i="35"/>
  <c r="K191" i="35"/>
  <c r="K185" i="35"/>
  <c r="K176" i="35"/>
  <c r="K165" i="35"/>
  <c r="K157" i="35"/>
  <c r="K152" i="35"/>
  <c r="K144" i="35"/>
  <c r="K132" i="35"/>
  <c r="K129" i="35"/>
  <c r="K97" i="35"/>
  <c r="K86" i="35"/>
  <c r="K71" i="35"/>
  <c r="K63" i="35"/>
  <c r="K207" i="35"/>
  <c r="K201" i="35"/>
  <c r="K194" i="35"/>
  <c r="K179" i="35"/>
  <c r="K172" i="35"/>
  <c r="K162" i="35"/>
  <c r="K149" i="35"/>
  <c r="K106" i="35"/>
  <c r="K93" i="35"/>
  <c r="K68" i="35"/>
  <c r="K59" i="35"/>
  <c r="K51" i="35"/>
  <c r="K190" i="35"/>
  <c r="K164" i="35"/>
  <c r="K156" i="35"/>
  <c r="K154" i="35"/>
  <c r="K146" i="35"/>
  <c r="K136" i="35"/>
  <c r="K114" i="35"/>
  <c r="K110" i="35"/>
  <c r="K101" i="35"/>
  <c r="K88" i="35"/>
  <c r="K73" i="35"/>
  <c r="K65" i="35"/>
  <c r="K56" i="35"/>
  <c r="K45" i="35"/>
  <c r="K40" i="35"/>
  <c r="K32" i="35"/>
  <c r="K20" i="35"/>
  <c r="K178" i="35"/>
  <c r="K167" i="35"/>
  <c r="K160" i="35"/>
  <c r="K151" i="35"/>
  <c r="K143" i="35"/>
  <c r="K121" i="35"/>
  <c r="K85" i="35"/>
  <c r="K70" i="35"/>
  <c r="K62" i="35"/>
  <c r="K53" i="35"/>
  <c r="K42" i="35"/>
  <c r="K37" i="35"/>
  <c r="K25" i="35"/>
  <c r="K221" i="35"/>
  <c r="K213" i="35"/>
  <c r="K203" i="35"/>
  <c r="K196" i="35"/>
  <c r="K153" i="35"/>
  <c r="K145" i="35"/>
  <c r="K133" i="35"/>
  <c r="K109" i="35"/>
  <c r="K87" i="35"/>
  <c r="K72" i="35"/>
  <c r="K64" i="35"/>
  <c r="K55" i="35"/>
  <c r="K44" i="35"/>
  <c r="K39" i="35"/>
  <c r="K27" i="35"/>
  <c r="K19" i="35"/>
  <c r="K67" i="35"/>
  <c r="K58" i="35"/>
  <c r="K33" i="35"/>
  <c r="K148" i="35"/>
  <c r="K118" i="35"/>
  <c r="K52" i="35"/>
  <c r="K24" i="35"/>
  <c r="K155" i="35"/>
  <c r="K92" i="35"/>
  <c r="K36" i="35"/>
  <c r="K43" i="35"/>
  <c r="K103" i="35"/>
  <c r="K48" i="35"/>
  <c r="K23" i="35"/>
  <c r="K60" i="35"/>
  <c r="K35" i="35"/>
  <c r="K22" i="35"/>
  <c r="K18" i="35"/>
  <c r="K15" i="35"/>
  <c r="K54" i="35"/>
  <c r="K38" i="35"/>
  <c r="K21" i="35"/>
  <c r="K163" i="35"/>
  <c r="K138" i="35"/>
  <c r="K46" i="35"/>
  <c r="K34" i="35"/>
  <c r="K26" i="35"/>
  <c r="K78" i="35"/>
  <c r="K41" i="35"/>
  <c r="K108" i="35"/>
  <c r="K228" i="35"/>
  <c r="K140" i="35"/>
  <c r="K210" i="35"/>
  <c r="K131" i="35"/>
  <c r="K188" i="35"/>
  <c r="K175" i="35"/>
  <c r="K111" i="35"/>
  <c r="K245" i="35"/>
  <c r="K199" i="35"/>
  <c r="K206" i="35"/>
  <c r="K122" i="35"/>
  <c r="K236" i="35"/>
  <c r="K96" i="35"/>
  <c r="I112" i="35"/>
  <c r="I113" i="35"/>
  <c r="I126" i="35"/>
  <c r="I128" i="35"/>
  <c r="I444" i="35"/>
  <c r="I442" i="35"/>
  <c r="I445" i="35"/>
  <c r="I441" i="35"/>
  <c r="I443" i="35"/>
  <c r="I446" i="35"/>
  <c r="I628" i="35"/>
  <c r="I629" i="35"/>
  <c r="I630" i="35"/>
  <c r="I449" i="35"/>
  <c r="I622" i="35"/>
  <c r="I331" i="35"/>
  <c r="I330" i="35"/>
  <c r="I218" i="35"/>
  <c r="I232" i="35"/>
  <c r="I231" i="35"/>
  <c r="I209" i="35"/>
  <c r="I208" i="35"/>
  <c r="I169" i="35"/>
  <c r="I170" i="35"/>
  <c r="I80" i="35"/>
  <c r="I105" i="35"/>
  <c r="I104" i="35"/>
  <c r="I49" i="35"/>
  <c r="I50" i="35"/>
  <c r="I31" i="35"/>
  <c r="I29" i="35"/>
  <c r="I28" i="35"/>
  <c r="I30" i="35"/>
  <c r="I583" i="35"/>
  <c r="I440" i="35"/>
  <c r="I439" i="35"/>
  <c r="I386" i="35"/>
  <c r="I365" i="35"/>
  <c r="I224" i="35"/>
  <c r="I266" i="35"/>
  <c r="I258" i="35"/>
  <c r="I265" i="35"/>
  <c r="I264" i="35"/>
  <c r="I268" i="35"/>
  <c r="I259" i="35"/>
  <c r="I263" i="35"/>
  <c r="I262" i="35"/>
  <c r="I269" i="35"/>
  <c r="I261" i="35"/>
  <c r="I260" i="35"/>
  <c r="I267" i="35"/>
  <c r="I135" i="35"/>
  <c r="I141" i="35"/>
  <c r="I119" i="35"/>
  <c r="I98" i="35"/>
  <c r="I123" i="35"/>
  <c r="I115" i="35"/>
  <c r="I125" i="35"/>
  <c r="I590" i="35"/>
  <c r="I450" i="35"/>
  <c r="I447" i="35"/>
  <c r="I466" i="35"/>
  <c r="I564" i="35"/>
  <c r="I568" i="35"/>
  <c r="I572" i="35"/>
  <c r="I567" i="35"/>
  <c r="I571" i="35"/>
  <c r="I566" i="35"/>
  <c r="I570" i="35"/>
  <c r="I574" i="35"/>
  <c r="I565" i="35"/>
  <c r="I569" i="35"/>
  <c r="I573" i="35"/>
  <c r="I518" i="35"/>
  <c r="I489" i="35"/>
  <c r="I503" i="35"/>
  <c r="I394" i="35"/>
  <c r="I451" i="35"/>
  <c r="I448" i="35"/>
  <c r="I395" i="35"/>
  <c r="I396" i="35"/>
  <c r="I94" i="49"/>
  <c r="I34" i="49"/>
  <c r="I510" i="35"/>
  <c r="I515" i="35"/>
  <c r="I516" i="35"/>
  <c r="I161" i="35"/>
  <c r="I222" i="35"/>
  <c r="I223" i="35"/>
  <c r="I77" i="35"/>
  <c r="I89" i="35"/>
  <c r="I90" i="35"/>
  <c r="I47" i="35"/>
  <c r="I76" i="35"/>
  <c r="I9" i="35"/>
  <c r="I13" i="35"/>
  <c r="I12" i="35"/>
  <c r="I11" i="35"/>
  <c r="I10" i="35"/>
  <c r="I14" i="35"/>
  <c r="I143" i="49"/>
  <c r="I144" i="49"/>
  <c r="I103" i="49"/>
  <c r="I104" i="49"/>
  <c r="H66" i="48"/>
  <c r="H67" i="48"/>
  <c r="I521" i="35"/>
  <c r="I522" i="35"/>
  <c r="I360" i="35"/>
  <c r="I184" i="35"/>
  <c r="I183" i="35"/>
  <c r="I159" i="35"/>
  <c r="I17" i="35"/>
  <c r="I249" i="35"/>
  <c r="I248" i="35"/>
  <c r="I270" i="35"/>
  <c r="H94" i="48"/>
  <c r="H95" i="48"/>
  <c r="I148" i="49"/>
  <c r="I180" i="35"/>
  <c r="I368" i="35"/>
  <c r="I171" i="35"/>
  <c r="I168" i="35"/>
  <c r="I116" i="35"/>
  <c r="I134" i="35"/>
  <c r="I79" i="35"/>
  <c r="I519" i="35"/>
  <c r="I520" i="35"/>
  <c r="I523" i="35"/>
  <c r="H62" i="48"/>
  <c r="H43" i="48"/>
  <c r="H59" i="48"/>
  <c r="H99" i="48"/>
  <c r="H86" i="48"/>
  <c r="H22" i="48"/>
  <c r="H75" i="48"/>
  <c r="H27" i="48"/>
  <c r="H50" i="48"/>
  <c r="H51" i="48"/>
  <c r="H39" i="48"/>
  <c r="I98" i="49"/>
  <c r="I69" i="49"/>
  <c r="I121" i="49"/>
  <c r="I131" i="49"/>
  <c r="I41" i="49"/>
  <c r="I64" i="49"/>
  <c r="I76" i="49"/>
  <c r="I77" i="49"/>
  <c r="I483" i="35"/>
  <c r="I485" i="35"/>
  <c r="I481" i="35"/>
  <c r="I484" i="35"/>
  <c r="I482" i="35"/>
  <c r="I480" i="35"/>
  <c r="I289" i="35"/>
  <c r="I75" i="35"/>
  <c r="E72" i="13"/>
  <c r="I631" i="35"/>
  <c r="I584" i="35"/>
  <c r="I575" i="35"/>
  <c r="I546" i="35"/>
  <c r="I538" i="35"/>
  <c r="I530" i="35"/>
  <c r="I626" i="35"/>
  <c r="I624" i="35"/>
  <c r="I615" i="35"/>
  <c r="I606" i="35"/>
  <c r="I597" i="35"/>
  <c r="I588" i="35"/>
  <c r="I526" i="35"/>
  <c r="I580" i="35"/>
  <c r="I561" i="35"/>
  <c r="I554" i="35"/>
  <c r="I543" i="35"/>
  <c r="I535" i="35"/>
  <c r="I620" i="35"/>
  <c r="I611" i="35"/>
  <c r="I603" i="35"/>
  <c r="I594" i="35"/>
  <c r="I517" i="35"/>
  <c r="I505" i="35"/>
  <c r="I496" i="35"/>
  <c r="I493" i="35"/>
  <c r="I474" i="35"/>
  <c r="I459" i="35"/>
  <c r="I434" i="35"/>
  <c r="I426" i="35"/>
  <c r="I418" i="35"/>
  <c r="I577" i="35"/>
  <c r="I548" i="35"/>
  <c r="I540" i="35"/>
  <c r="I532" i="35"/>
  <c r="I617" i="35"/>
  <c r="I608" i="35"/>
  <c r="I582" i="35"/>
  <c r="I563" i="35"/>
  <c r="I545" i="35"/>
  <c r="I537" i="35"/>
  <c r="I623" i="35"/>
  <c r="I614" i="35"/>
  <c r="I605" i="35"/>
  <c r="I596" i="35"/>
  <c r="I527" i="35"/>
  <c r="I525" i="35"/>
  <c r="I498" i="35"/>
  <c r="I476" i="35"/>
  <c r="I468" i="35"/>
  <c r="I579" i="35"/>
  <c r="I560" i="35"/>
  <c r="I553" i="35"/>
  <c r="I542" i="35"/>
  <c r="I534" i="35"/>
  <c r="I619" i="35"/>
  <c r="I610" i="35"/>
  <c r="I602" i="35"/>
  <c r="I593" i="35"/>
  <c r="I514" i="35"/>
  <c r="I504" i="35"/>
  <c r="I473" i="35"/>
  <c r="I458" i="35"/>
  <c r="I433" i="35"/>
  <c r="I425" i="35"/>
  <c r="I562" i="35"/>
  <c r="I604" i="35"/>
  <c r="I595" i="35"/>
  <c r="I499" i="35"/>
  <c r="I472" i="35"/>
  <c r="I463" i="35"/>
  <c r="I456" i="35"/>
  <c r="I432" i="35"/>
  <c r="I415" i="35"/>
  <c r="I407" i="35"/>
  <c r="I399" i="35"/>
  <c r="I375" i="35"/>
  <c r="I362" i="35"/>
  <c r="I555" i="35"/>
  <c r="I544" i="35"/>
  <c r="I467" i="35"/>
  <c r="I452" i="35"/>
  <c r="I435" i="35"/>
  <c r="I428" i="35"/>
  <c r="I421" i="35"/>
  <c r="I412" i="35"/>
  <c r="I404" i="35"/>
  <c r="I393" i="35"/>
  <c r="I380" i="35"/>
  <c r="I536" i="35"/>
  <c r="I621" i="35"/>
  <c r="I513" i="35"/>
  <c r="I502" i="35"/>
  <c r="I475" i="35"/>
  <c r="I471" i="35"/>
  <c r="I455" i="35"/>
  <c r="I438" i="35"/>
  <c r="I431" i="35"/>
  <c r="I424" i="35"/>
  <c r="I417" i="35"/>
  <c r="I409" i="35"/>
  <c r="I401" i="35"/>
  <c r="I385" i="35"/>
  <c r="I377" i="35"/>
  <c r="I364" i="35"/>
  <c r="I578" i="35"/>
  <c r="I613" i="35"/>
  <c r="I609" i="35"/>
  <c r="I598" i="35"/>
  <c r="I512" i="35"/>
  <c r="I508" i="35"/>
  <c r="I497" i="35"/>
  <c r="I488" i="35"/>
  <c r="I479" i="35"/>
  <c r="I470" i="35"/>
  <c r="I462" i="35"/>
  <c r="I427" i="35"/>
  <c r="I420" i="35"/>
  <c r="I414" i="35"/>
  <c r="I406" i="35"/>
  <c r="I398" i="35"/>
  <c r="I374" i="35"/>
  <c r="I359" i="35"/>
  <c r="I355" i="35"/>
  <c r="I576" i="35"/>
  <c r="I559" i="35"/>
  <c r="I549" i="35"/>
  <c r="I607" i="35"/>
  <c r="I511" i="35"/>
  <c r="I506" i="35"/>
  <c r="I501" i="35"/>
  <c r="I478" i="35"/>
  <c r="I430" i="35"/>
  <c r="I423" i="35"/>
  <c r="I411" i="35"/>
  <c r="I403" i="35"/>
  <c r="I392" i="35"/>
  <c r="I379" i="35"/>
  <c r="I367" i="35"/>
  <c r="I343" i="35"/>
  <c r="I337" i="35"/>
  <c r="I327" i="35"/>
  <c r="I316" i="35"/>
  <c r="I552" i="35"/>
  <c r="I547" i="35"/>
  <c r="I541" i="35"/>
  <c r="I601" i="35"/>
  <c r="I592" i="35"/>
  <c r="I524" i="35"/>
  <c r="I500" i="35"/>
  <c r="I461" i="35"/>
  <c r="I454" i="35"/>
  <c r="I437" i="35"/>
  <c r="I419" i="35"/>
  <c r="I416" i="35"/>
  <c r="I408" i="35"/>
  <c r="I400" i="35"/>
  <c r="I376" i="35"/>
  <c r="I363" i="35"/>
  <c r="I581" i="35"/>
  <c r="I557" i="35"/>
  <c r="I531" i="35"/>
  <c r="I616" i="35"/>
  <c r="I612" i="35"/>
  <c r="I589" i="35"/>
  <c r="I477" i="35"/>
  <c r="I460" i="35"/>
  <c r="I453" i="35"/>
  <c r="I436" i="35"/>
  <c r="I429" i="35"/>
  <c r="I410" i="35"/>
  <c r="I402" i="35"/>
  <c r="I391" i="35"/>
  <c r="I378" i="35"/>
  <c r="I366" i="35"/>
  <c r="I350" i="35"/>
  <c r="I336" i="35"/>
  <c r="I326" i="35"/>
  <c r="I405" i="35"/>
  <c r="I352" i="35"/>
  <c r="I348" i="35"/>
  <c r="I335" i="35"/>
  <c r="I315" i="35"/>
  <c r="I307" i="35"/>
  <c r="I299" i="35"/>
  <c r="I286" i="35"/>
  <c r="I278" i="35"/>
  <c r="I253" i="35"/>
  <c r="I239" i="35"/>
  <c r="I216" i="35"/>
  <c r="I214" i="35"/>
  <c r="I457" i="35"/>
  <c r="I344" i="35"/>
  <c r="I338" i="35"/>
  <c r="I329" i="35"/>
  <c r="I322" i="35"/>
  <c r="I312" i="35"/>
  <c r="I304" i="35"/>
  <c r="I296" i="35"/>
  <c r="I283" i="35"/>
  <c r="I275" i="35"/>
  <c r="I250" i="35"/>
  <c r="I235" i="35"/>
  <c r="I600" i="35"/>
  <c r="I422" i="35"/>
  <c r="I347" i="35"/>
  <c r="I341" i="35"/>
  <c r="I334" i="35"/>
  <c r="I325" i="35"/>
  <c r="I309" i="35"/>
  <c r="I301" i="35"/>
  <c r="I293" i="35"/>
  <c r="I288" i="35"/>
  <c r="I280" i="35"/>
  <c r="I272" i="35"/>
  <c r="I255" i="35"/>
  <c r="I241" i="35"/>
  <c r="I230" i="35"/>
  <c r="I219" i="35"/>
  <c r="I202" i="35"/>
  <c r="I195" i="35"/>
  <c r="I179" i="35"/>
  <c r="I172" i="35"/>
  <c r="I156" i="35"/>
  <c r="I469" i="35"/>
  <c r="I397" i="35"/>
  <c r="I354" i="35"/>
  <c r="I328" i="35"/>
  <c r="I321" i="35"/>
  <c r="I314" i="35"/>
  <c r="I306" i="35"/>
  <c r="I298" i="35"/>
  <c r="I285" i="35"/>
  <c r="I277" i="35"/>
  <c r="I252" i="35"/>
  <c r="I238" i="35"/>
  <c r="I237" i="35"/>
  <c r="I586" i="35"/>
  <c r="I625" i="35"/>
  <c r="I373" i="35"/>
  <c r="I333" i="35"/>
  <c r="I324" i="35"/>
  <c r="I311" i="35"/>
  <c r="I303" i="35"/>
  <c r="I295" i="35"/>
  <c r="I282" i="35"/>
  <c r="I274" i="35"/>
  <c r="I257" i="35"/>
  <c r="I234" i="35"/>
  <c r="I539" i="35"/>
  <c r="I618" i="35"/>
  <c r="I413" i="35"/>
  <c r="I358" i="35"/>
  <c r="I346" i="35"/>
  <c r="I340" i="35"/>
  <c r="I320" i="35"/>
  <c r="I308" i="35"/>
  <c r="I300" i="35"/>
  <c r="I292" i="35"/>
  <c r="I287" i="35"/>
  <c r="I279" i="35"/>
  <c r="I271" i="35"/>
  <c r="I254" i="35"/>
  <c r="I240" i="35"/>
  <c r="I229" i="35"/>
  <c r="I217" i="35"/>
  <c r="I533" i="35"/>
  <c r="I591" i="35"/>
  <c r="I349" i="35"/>
  <c r="I323" i="35"/>
  <c r="I313" i="35"/>
  <c r="I305" i="35"/>
  <c r="I297" i="35"/>
  <c r="I284" i="35"/>
  <c r="I276" i="35"/>
  <c r="I251" i="35"/>
  <c r="I225" i="35"/>
  <c r="I212" i="35"/>
  <c r="I191" i="35"/>
  <c r="I185" i="35"/>
  <c r="I164" i="35"/>
  <c r="I162" i="35"/>
  <c r="I221" i="35"/>
  <c r="I213" i="35"/>
  <c r="I203" i="35"/>
  <c r="I196" i="35"/>
  <c r="I189" i="35"/>
  <c r="I182" i="35"/>
  <c r="I174" i="35"/>
  <c r="I163" i="35"/>
  <c r="I155" i="35"/>
  <c r="I148" i="35"/>
  <c r="I138" i="35"/>
  <c r="I118" i="35"/>
  <c r="I103" i="35"/>
  <c r="I92" i="35"/>
  <c r="I78" i="35"/>
  <c r="I67" i="35"/>
  <c r="I60" i="35"/>
  <c r="I58" i="35"/>
  <c r="I339" i="35"/>
  <c r="I302" i="35"/>
  <c r="I281" i="35"/>
  <c r="I192" i="35"/>
  <c r="I177" i="35"/>
  <c r="I166" i="35"/>
  <c r="I158" i="35"/>
  <c r="I153" i="35"/>
  <c r="I145" i="35"/>
  <c r="I133" i="35"/>
  <c r="I109" i="35"/>
  <c r="I87" i="35"/>
  <c r="I72" i="35"/>
  <c r="I64" i="35"/>
  <c r="I55" i="35"/>
  <c r="I181" i="35"/>
  <c r="I173" i="35"/>
  <c r="I150" i="35"/>
  <c r="I142" i="35"/>
  <c r="I122" i="35"/>
  <c r="I120" i="35"/>
  <c r="I107" i="35"/>
  <c r="I94" i="35"/>
  <c r="I84" i="35"/>
  <c r="I69" i="35"/>
  <c r="I61" i="35"/>
  <c r="I356" i="35"/>
  <c r="I332" i="35"/>
  <c r="I310" i="35"/>
  <c r="I233" i="35"/>
  <c r="I215" i="35"/>
  <c r="I176" i="35"/>
  <c r="I165" i="35"/>
  <c r="I157" i="35"/>
  <c r="I147" i="35"/>
  <c r="I137" i="35"/>
  <c r="I117" i="35"/>
  <c r="I102" i="35"/>
  <c r="I91" i="35"/>
  <c r="I74" i="35"/>
  <c r="I66" i="35"/>
  <c r="I57" i="35"/>
  <c r="I46" i="35"/>
  <c r="I294" i="35"/>
  <c r="I273" i="35"/>
  <c r="I198" i="35"/>
  <c r="I152" i="35"/>
  <c r="I144" i="35"/>
  <c r="I132" i="35"/>
  <c r="I129" i="35"/>
  <c r="I97" i="35"/>
  <c r="I86" i="35"/>
  <c r="I71" i="35"/>
  <c r="I63" i="35"/>
  <c r="I54" i="35"/>
  <c r="I43" i="35"/>
  <c r="I38" i="35"/>
  <c r="I26" i="35"/>
  <c r="I18" i="35"/>
  <c r="I345" i="35"/>
  <c r="I256" i="35"/>
  <c r="I207" i="35"/>
  <c r="I201" i="35"/>
  <c r="I194" i="35"/>
  <c r="I149" i="35"/>
  <c r="I106" i="35"/>
  <c r="I93" i="35"/>
  <c r="I68" i="35"/>
  <c r="I59" i="35"/>
  <c r="I51" i="35"/>
  <c r="I35" i="35"/>
  <c r="I23" i="35"/>
  <c r="I200" i="35"/>
  <c r="I193" i="35"/>
  <c r="I178" i="35"/>
  <c r="I167" i="35"/>
  <c r="I160" i="35"/>
  <c r="I151" i="35"/>
  <c r="I143" i="35"/>
  <c r="I121" i="35"/>
  <c r="I85" i="35"/>
  <c r="I70" i="35"/>
  <c r="I62" i="35"/>
  <c r="I53" i="35"/>
  <c r="I42" i="35"/>
  <c r="I37" i="35"/>
  <c r="I25" i="35"/>
  <c r="I45" i="35"/>
  <c r="I197" i="35"/>
  <c r="I65" i="35"/>
  <c r="I21" i="35"/>
  <c r="I146" i="35"/>
  <c r="I114" i="35"/>
  <c r="I44" i="35"/>
  <c r="I33" i="35"/>
  <c r="I20" i="35"/>
  <c r="I220" i="35"/>
  <c r="I190" i="35"/>
  <c r="I88" i="35"/>
  <c r="I52" i="35"/>
  <c r="I32" i="35"/>
  <c r="I24" i="35"/>
  <c r="I204" i="35"/>
  <c r="I40" i="35"/>
  <c r="I36" i="35"/>
  <c r="I19" i="35"/>
  <c r="I41" i="35"/>
  <c r="I34" i="35"/>
  <c r="I15" i="35"/>
  <c r="I110" i="35"/>
  <c r="I101" i="35"/>
  <c r="I56" i="35"/>
  <c r="I48" i="35"/>
  <c r="I27" i="35"/>
  <c r="I73" i="35"/>
  <c r="I39" i="35"/>
  <c r="I22" i="35"/>
  <c r="I154" i="35"/>
  <c r="I136" i="35"/>
  <c r="I236" i="35"/>
  <c r="I353" i="35"/>
  <c r="I599" i="35"/>
  <c r="I495" i="35"/>
  <c r="I585" i="35"/>
  <c r="I382" i="35"/>
  <c r="I228" i="35"/>
  <c r="I245" i="35"/>
  <c r="I528" i="35"/>
  <c r="I140" i="35"/>
  <c r="I96" i="35"/>
  <c r="I210" i="35"/>
  <c r="I83" i="35"/>
  <c r="I175" i="35"/>
  <c r="I108" i="35"/>
  <c r="I199" i="35"/>
  <c r="I342" i="35"/>
  <c r="I319" i="35"/>
  <c r="I111" i="35"/>
  <c r="I131" i="35"/>
  <c r="I388" i="35"/>
  <c r="I351" i="35"/>
  <c r="I558" i="35"/>
  <c r="I206" i="35"/>
  <c r="I188" i="35"/>
  <c r="I383" i="35"/>
  <c r="I529" i="35"/>
  <c r="I509" i="35"/>
  <c r="I211" i="35"/>
  <c r="I587" i="35"/>
  <c r="I627" i="35"/>
  <c r="I389" i="35"/>
  <c r="I357" i="35"/>
  <c r="I246" i="35"/>
  <c r="I384" i="35"/>
  <c r="I635" i="35"/>
  <c r="I634" i="35"/>
  <c r="I390" i="35"/>
  <c r="I247" i="35"/>
  <c r="I70" i="49"/>
  <c r="H63" i="48"/>
  <c r="H44" i="48"/>
  <c r="H28" i="48"/>
  <c r="H87" i="48"/>
  <c r="I99" i="49"/>
  <c r="I42" i="49"/>
  <c r="I132" i="49"/>
  <c r="J20" i="6"/>
  <c r="G8" i="6"/>
  <c r="D20" i="6"/>
  <c r="I32" i="6"/>
  <c r="I52" i="6" s="1"/>
  <c r="D21" i="6"/>
  <c r="J21" i="6"/>
  <c r="D22" i="6"/>
  <c r="J22" i="6"/>
  <c r="D30" i="6"/>
  <c r="J30" i="6"/>
  <c r="D23" i="6"/>
  <c r="J23" i="6"/>
  <c r="D31" i="6"/>
  <c r="J31" i="6"/>
  <c r="D24" i="6"/>
  <c r="J24" i="6"/>
  <c r="D25" i="6"/>
  <c r="J25" i="6"/>
  <c r="D26" i="6"/>
  <c r="J26" i="6"/>
  <c r="D27" i="6"/>
  <c r="J27" i="6"/>
  <c r="D28" i="6"/>
  <c r="J28" i="6"/>
  <c r="D29" i="6"/>
  <c r="J29" i="6"/>
  <c r="D32" i="6"/>
  <c r="J32" i="6"/>
  <c r="J33" i="6"/>
  <c r="H57" i="41" l="1"/>
  <c r="H10" i="41"/>
  <c r="H13" i="41"/>
  <c r="H91" i="41"/>
  <c r="H48" i="41"/>
  <c r="H30" i="41"/>
  <c r="H49" i="41"/>
  <c r="H69" i="41"/>
  <c r="H75" i="41" s="1"/>
  <c r="H93" i="41"/>
  <c r="H92" i="41"/>
  <c r="Q100" i="41"/>
  <c r="H25" i="41"/>
  <c r="H58" i="41"/>
  <c r="H12" i="41"/>
  <c r="H15" i="41"/>
  <c r="H90" i="41"/>
  <c r="H24" i="41"/>
  <c r="H31" i="41"/>
  <c r="U100" i="41"/>
  <c r="H70" i="41"/>
  <c r="N100" i="41"/>
  <c r="H76" i="41"/>
  <c r="H56" i="41"/>
  <c r="H14" i="41"/>
  <c r="H17" i="41"/>
  <c r="H97" i="41"/>
  <c r="H38" i="41"/>
  <c r="H35" i="41"/>
  <c r="H37" i="41"/>
  <c r="H73" i="41"/>
  <c r="H85" i="41"/>
  <c r="H54" i="41"/>
  <c r="H59" i="41" s="1"/>
  <c r="H63" i="41" s="1"/>
  <c r="H9" i="41"/>
  <c r="H89" i="41"/>
  <c r="H65" i="41"/>
  <c r="H66" i="41" s="1"/>
  <c r="H67" i="41" s="1"/>
  <c r="H55" i="41"/>
  <c r="H16" i="41"/>
  <c r="H19" i="41"/>
  <c r="H21" i="41"/>
  <c r="H33" i="41"/>
  <c r="H81" i="41"/>
  <c r="R100" i="41"/>
  <c r="H53" i="41"/>
  <c r="H82" i="41"/>
  <c r="H61" i="41"/>
  <c r="H79" i="41"/>
  <c r="H18" i="41"/>
  <c r="H32" i="41"/>
  <c r="H39" i="41" s="1"/>
  <c r="H44" i="41" s="1"/>
  <c r="H46" i="41"/>
  <c r="S100" i="41"/>
  <c r="H74" i="41"/>
  <c r="H72" i="41"/>
  <c r="H78" i="41"/>
  <c r="H20" i="41"/>
  <c r="H26" i="41"/>
  <c r="H36" i="41"/>
  <c r="H47" i="41"/>
  <c r="H77" i="41"/>
  <c r="H42" i="41"/>
  <c r="M100" i="41"/>
  <c r="T100" i="41"/>
  <c r="H71" i="41"/>
  <c r="H8" i="41"/>
  <c r="H11" i="41"/>
  <c r="H23" i="41"/>
  <c r="H40" i="41"/>
  <c r="H43" i="41" s="1"/>
  <c r="H60" i="41"/>
  <c r="H62" i="41" s="1"/>
  <c r="H80" i="41"/>
  <c r="H41" i="41"/>
  <c r="H34" i="41"/>
  <c r="G100" i="41"/>
  <c r="H98" i="41"/>
  <c r="I76" i="41"/>
  <c r="I23" i="41"/>
  <c r="I85" i="41"/>
  <c r="O100" i="41"/>
  <c r="I80" i="41"/>
  <c r="I41" i="41"/>
  <c r="L100" i="41"/>
  <c r="K100" i="41"/>
  <c r="F100" i="41"/>
  <c r="I82" i="41"/>
  <c r="I60" i="41"/>
  <c r="I62" i="41" s="1"/>
  <c r="J100" i="41"/>
  <c r="I26" i="41"/>
  <c r="I79" i="41"/>
  <c r="I81" i="41"/>
  <c r="I78" i="41"/>
  <c r="I24" i="41"/>
  <c r="I40" i="41"/>
  <c r="I43" i="41" s="1"/>
  <c r="I25" i="41"/>
  <c r="P98" i="41"/>
  <c r="J76" i="51"/>
  <c r="J75" i="51"/>
  <c r="J92" i="51"/>
  <c r="J89" i="51"/>
  <c r="J91" i="51"/>
  <c r="J88" i="51"/>
  <c r="J87" i="51"/>
  <c r="I83" i="51"/>
  <c r="I53" i="51"/>
  <c r="I34" i="51"/>
  <c r="I51" i="51"/>
  <c r="I71" i="51"/>
  <c r="I39" i="51"/>
  <c r="I52" i="51"/>
  <c r="I36" i="51"/>
  <c r="I38" i="51"/>
  <c r="I37" i="51"/>
  <c r="I35" i="51"/>
  <c r="I70" i="51"/>
  <c r="I50" i="51"/>
  <c r="H72" i="51"/>
  <c r="J46" i="51"/>
  <c r="J52" i="51"/>
  <c r="J42" i="51"/>
  <c r="J53" i="51"/>
  <c r="J45" i="51"/>
  <c r="J43" i="51"/>
  <c r="J48" i="51"/>
  <c r="H54" i="51"/>
  <c r="J44" i="51"/>
  <c r="J51" i="51"/>
  <c r="J47" i="51"/>
  <c r="J81" i="51"/>
  <c r="J50" i="51"/>
  <c r="F94" i="51"/>
  <c r="I47" i="51"/>
  <c r="I46" i="51"/>
  <c r="I69" i="51"/>
  <c r="I45" i="51"/>
  <c r="I23" i="51"/>
  <c r="I44" i="51"/>
  <c r="I19" i="51"/>
  <c r="I10" i="51"/>
  <c r="I28" i="51"/>
  <c r="I32" i="51"/>
  <c r="I20" i="51"/>
  <c r="I21" i="51"/>
  <c r="I56" i="51"/>
  <c r="I65" i="51"/>
  <c r="I17" i="51"/>
  <c r="I48" i="51"/>
  <c r="I27" i="51"/>
  <c r="I81" i="51"/>
  <c r="I31" i="51"/>
  <c r="I49" i="51"/>
  <c r="I91" i="51"/>
  <c r="I66" i="51"/>
  <c r="I75" i="51"/>
  <c r="I30" i="51"/>
  <c r="I16" i="51"/>
  <c r="I29" i="51"/>
  <c r="I26" i="51"/>
  <c r="I43" i="51"/>
  <c r="I18" i="51"/>
  <c r="I22" i="51"/>
  <c r="I14" i="51"/>
  <c r="I88" i="51"/>
  <c r="I25" i="51"/>
  <c r="I12" i="51"/>
  <c r="I76" i="51"/>
  <c r="I11" i="51"/>
  <c r="I68" i="51"/>
  <c r="I55" i="51"/>
  <c r="G94" i="51"/>
  <c r="I13" i="51"/>
  <c r="I87" i="51"/>
  <c r="I67" i="51"/>
  <c r="I15" i="51"/>
  <c r="I80" i="51"/>
  <c r="I58" i="51"/>
  <c r="I82" i="51"/>
  <c r="I61" i="51"/>
  <c r="I89" i="51"/>
  <c r="I42" i="51"/>
  <c r="I24" i="51"/>
  <c r="I40" i="51"/>
  <c r="J62" i="51"/>
  <c r="I72" i="51"/>
  <c r="J40" i="51"/>
  <c r="J33" i="51"/>
  <c r="G63" i="51"/>
  <c r="G85" i="51"/>
  <c r="H62" i="51"/>
  <c r="J68" i="51"/>
  <c r="H90" i="51"/>
  <c r="I90" i="51"/>
  <c r="J72" i="51"/>
  <c r="J70" i="51"/>
  <c r="F54" i="51"/>
  <c r="G41" i="51"/>
  <c r="I33" i="51"/>
  <c r="J67" i="51"/>
  <c r="J90" i="51"/>
  <c r="D24" i="21"/>
  <c r="E21" i="21"/>
  <c r="H50" i="6"/>
  <c r="H52" i="6"/>
  <c r="H53" i="6" s="1"/>
  <c r="H8" i="6"/>
  <c r="F52" i="6"/>
  <c r="F50" i="6"/>
  <c r="C10" i="6"/>
  <c r="E11" i="6" s="1"/>
  <c r="D8" i="6"/>
  <c r="J53" i="6"/>
  <c r="G10" i="6"/>
  <c r="C9" i="6"/>
  <c r="J50" i="6"/>
  <c r="E24" i="21"/>
  <c r="G25" i="21" s="1"/>
  <c r="G16" i="21"/>
  <c r="N83" i="3"/>
  <c r="O83" i="3" s="1"/>
  <c r="K83" i="3"/>
  <c r="P83" i="3" s="1"/>
  <c r="Q83" i="3" s="1"/>
  <c r="C83" i="3"/>
  <c r="L83" i="3" s="1"/>
  <c r="M83" i="3" s="1"/>
  <c r="M82" i="3"/>
  <c r="O82" i="3"/>
  <c r="O78" i="3"/>
  <c r="Q78" i="3"/>
  <c r="P58" i="3"/>
  <c r="Q58" i="3" s="1"/>
  <c r="M55" i="3"/>
  <c r="D55" i="3"/>
  <c r="E55" i="3" s="1"/>
  <c r="P55" i="3" s="1"/>
  <c r="Q55" i="3" s="1"/>
  <c r="M56" i="3"/>
  <c r="N62" i="2"/>
  <c r="N53" i="3"/>
  <c r="O53" i="3" s="1"/>
  <c r="N63" i="2"/>
  <c r="N58" i="3"/>
  <c r="O58" i="3" s="1"/>
  <c r="Q57" i="3"/>
  <c r="P53" i="3"/>
  <c r="M53" i="3"/>
  <c r="M54" i="3"/>
  <c r="Q51" i="3"/>
  <c r="Q50" i="3"/>
  <c r="O51" i="3"/>
  <c r="O52" i="3"/>
  <c r="E54" i="3"/>
  <c r="P54" i="3" s="1"/>
  <c r="M51" i="3"/>
  <c r="D56" i="3"/>
  <c r="L64" i="2"/>
  <c r="L65" i="2"/>
  <c r="N57" i="3"/>
  <c r="O57" i="3" s="1"/>
  <c r="E52" i="3"/>
  <c r="P52" i="3" s="1"/>
  <c r="Q52" i="3" s="1"/>
  <c r="H65" i="2"/>
  <c r="E65" i="2"/>
  <c r="N65" i="2" s="1"/>
  <c r="Q77" i="3"/>
  <c r="O79" i="3"/>
  <c r="P80" i="3"/>
  <c r="Q79" i="3" s="1"/>
  <c r="Q75" i="3"/>
  <c r="Q76" i="3"/>
  <c r="O77" i="3"/>
  <c r="O76" i="3"/>
  <c r="M76" i="3"/>
  <c r="M75" i="3"/>
  <c r="E82" i="3"/>
  <c r="P82" i="3" s="1"/>
  <c r="E79" i="3"/>
  <c r="M79" i="3"/>
  <c r="F25" i="67"/>
  <c r="F49" i="67"/>
  <c r="E14" i="67"/>
  <c r="E45" i="67"/>
  <c r="F30" i="67"/>
  <c r="F43" i="67"/>
  <c r="E39" i="67"/>
  <c r="F9" i="67"/>
  <c r="P63" i="41"/>
  <c r="P99" i="41" s="1"/>
  <c r="P100" i="41" s="1"/>
  <c r="F33" i="67"/>
  <c r="D53" i="67"/>
  <c r="F53" i="67" s="1"/>
  <c r="D21" i="67"/>
  <c r="F21" i="67" s="1"/>
  <c r="D34" i="67"/>
  <c r="F34" i="67" s="1"/>
  <c r="D14" i="67"/>
  <c r="F14" i="67" s="1"/>
  <c r="F50" i="67"/>
  <c r="D45" i="67"/>
  <c r="F10" i="67"/>
  <c r="F18" i="67"/>
  <c r="F26" i="67"/>
  <c r="D39" i="67"/>
  <c r="E11" i="66"/>
  <c r="E44" i="66"/>
  <c r="E22" i="66"/>
  <c r="F64" i="65"/>
  <c r="F52" i="65"/>
  <c r="E47" i="65"/>
  <c r="F47" i="65" s="1"/>
  <c r="F42" i="65"/>
  <c r="E33" i="65"/>
  <c r="E21" i="65"/>
  <c r="F59" i="65"/>
  <c r="F38" i="65"/>
  <c r="D67" i="65"/>
  <c r="F67" i="65" s="1"/>
  <c r="D33" i="65"/>
  <c r="D21" i="65"/>
  <c r="E11" i="64"/>
  <c r="E23" i="64"/>
  <c r="E49" i="64"/>
  <c r="H86" i="41" l="1"/>
  <c r="H87" i="41" s="1"/>
  <c r="I27" i="41"/>
  <c r="H22" i="41"/>
  <c r="H94" i="41"/>
  <c r="H95" i="41" s="1"/>
  <c r="H99" i="41"/>
  <c r="I86" i="41"/>
  <c r="H27" i="41"/>
  <c r="H50" i="41"/>
  <c r="H51" i="41" s="1"/>
  <c r="H56" i="51"/>
  <c r="H17" i="51"/>
  <c r="H22" i="51"/>
  <c r="H28" i="51"/>
  <c r="H50" i="51"/>
  <c r="H71" i="51"/>
  <c r="H87" i="51"/>
  <c r="H49" i="51"/>
  <c r="H91" i="51"/>
  <c r="H14" i="51"/>
  <c r="H21" i="51"/>
  <c r="H11" i="51"/>
  <c r="H61" i="51"/>
  <c r="H48" i="51"/>
  <c r="H58" i="51"/>
  <c r="H44" i="51"/>
  <c r="H92" i="51"/>
  <c r="H13" i="51"/>
  <c r="H20" i="51"/>
  <c r="H29" i="51"/>
  <c r="H51" i="51"/>
  <c r="H83" i="51"/>
  <c r="H52" i="51"/>
  <c r="H33" i="51"/>
  <c r="H40" i="51"/>
  <c r="H12" i="51"/>
  <c r="H19" i="51"/>
  <c r="H27" i="51"/>
  <c r="H39" i="51"/>
  <c r="H80" i="51"/>
  <c r="H42" i="51"/>
  <c r="H31" i="51"/>
  <c r="H55" i="51"/>
  <c r="H26" i="51"/>
  <c r="H10" i="51"/>
  <c r="H34" i="51"/>
  <c r="H67" i="51"/>
  <c r="H89" i="51"/>
  <c r="H88" i="51"/>
  <c r="H65" i="51"/>
  <c r="H30" i="51"/>
  <c r="H76" i="51"/>
  <c r="H68" i="51"/>
  <c r="H47" i="51"/>
  <c r="H18" i="51"/>
  <c r="H23" i="51"/>
  <c r="H35" i="51"/>
  <c r="H66" i="51"/>
  <c r="H46" i="51"/>
  <c r="H45" i="51"/>
  <c r="H81" i="51"/>
  <c r="H16" i="51"/>
  <c r="H43" i="51"/>
  <c r="H82" i="51"/>
  <c r="H37" i="51"/>
  <c r="H24" i="51"/>
  <c r="H15" i="51"/>
  <c r="H36" i="51"/>
  <c r="H75" i="51"/>
  <c r="H32" i="51"/>
  <c r="H69" i="51"/>
  <c r="H25" i="51"/>
  <c r="H38" i="51"/>
  <c r="H70" i="51"/>
  <c r="H59" i="51"/>
  <c r="H95" i="51"/>
  <c r="H93" i="51"/>
  <c r="H84" i="51"/>
  <c r="H73" i="51"/>
  <c r="H53" i="51"/>
  <c r="H96" i="51"/>
  <c r="H77" i="51"/>
  <c r="J16" i="51"/>
  <c r="J21" i="51"/>
  <c r="J13" i="51"/>
  <c r="J34" i="51"/>
  <c r="J30" i="51"/>
  <c r="J12" i="51"/>
  <c r="J20" i="51"/>
  <c r="J10" i="51"/>
  <c r="J24" i="51"/>
  <c r="J25" i="51"/>
  <c r="J31" i="51"/>
  <c r="J29" i="51"/>
  <c r="J23" i="51"/>
  <c r="J37" i="51"/>
  <c r="J36" i="51"/>
  <c r="J32" i="51"/>
  <c r="J19" i="51"/>
  <c r="J14" i="51"/>
  <c r="J11" i="51"/>
  <c r="J39" i="51"/>
  <c r="J28" i="51"/>
  <c r="J27" i="51"/>
  <c r="J18" i="51"/>
  <c r="H41" i="51"/>
  <c r="J26" i="51"/>
  <c r="J15" i="51"/>
  <c r="J17" i="51"/>
  <c r="J22" i="51"/>
  <c r="J35" i="51"/>
  <c r="J38" i="51"/>
  <c r="H85" i="51"/>
  <c r="J82" i="51"/>
  <c r="J80" i="51"/>
  <c r="J84" i="51"/>
  <c r="J83" i="51"/>
  <c r="J61" i="51"/>
  <c r="H63" i="51"/>
  <c r="H22" i="21"/>
  <c r="G22" i="21"/>
  <c r="F21" i="21"/>
  <c r="F53" i="6"/>
  <c r="L52" i="6"/>
  <c r="D9" i="6"/>
  <c r="D10" i="6" s="1"/>
  <c r="H9" i="6"/>
  <c r="H10" i="6" s="1"/>
  <c r="G11" i="6"/>
  <c r="H25" i="21"/>
  <c r="F24" i="21"/>
  <c r="Q82" i="3"/>
  <c r="Q54" i="3"/>
  <c r="N55" i="3"/>
  <c r="O54" i="3" s="1"/>
  <c r="E56" i="3"/>
  <c r="P56" i="3" s="1"/>
  <c r="Q56" i="3" s="1"/>
  <c r="N56" i="3"/>
  <c r="O56" i="3" s="1"/>
  <c r="O55" i="3"/>
  <c r="Q53" i="3"/>
  <c r="F45" i="67"/>
  <c r="F39" i="67"/>
  <c r="E55" i="67"/>
  <c r="D55" i="67"/>
  <c r="F33" i="65"/>
  <c r="E69" i="65"/>
  <c r="D69" i="65"/>
  <c r="F21" i="65"/>
  <c r="H28" i="41" l="1"/>
  <c r="F55" i="67"/>
  <c r="F69" i="6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Deborah D. Leon Guerrero</author>
  </authors>
  <commentList>
    <comment ref="A8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09/28/07.D. Leon Guerrero: corrected title from Summer 2006 to Summer 2007.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Deborah Leon Guerrero</author>
  </authors>
  <commentList>
    <comment ref="D1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Trini Macduff:</t>
        </r>
        <r>
          <rPr>
            <sz val="9"/>
            <color indexed="81"/>
            <rFont val="Tahoma"/>
            <family val="2"/>
          </rPr>
          <t xml:space="preserve">
SOURCE: CROA; Student Enrollment by Ehtnicity/Academic Level/Gender/Load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Deborah Leon Guerrero</author>
  </authors>
  <commentList>
    <comment ref="A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Trini Macduff:</t>
        </r>
        <r>
          <rPr>
            <sz val="9"/>
            <color indexed="81"/>
            <rFont val="Tahoma"/>
            <family val="2"/>
          </rPr>
          <t xml:space="preserve">
Source: 21FA_UOGENR ADMIT ST=1</t>
        </r>
      </text>
    </comment>
  </commentList>
</comments>
</file>

<file path=xl/sharedStrings.xml><?xml version="1.0" encoding="utf-8"?>
<sst xmlns="http://schemas.openxmlformats.org/spreadsheetml/2006/main" count="7251" uniqueCount="1666">
  <si>
    <t>Student Enrollment by College/Major/Program Level/Course Load/Class Level/Gender</t>
  </si>
  <si>
    <t>Majors by Ethnicity</t>
  </si>
  <si>
    <t>Student Enrollment by College/Major/Program Level/Ethnicity</t>
  </si>
  <si>
    <t>Graduate</t>
  </si>
  <si>
    <t>Credit Hour Production by College/Academic Level/Subject/Course</t>
  </si>
  <si>
    <t>Credit Hour Production by College/Subject</t>
  </si>
  <si>
    <t>Ethnicity</t>
  </si>
  <si>
    <t>LOAD</t>
  </si>
  <si>
    <t>% OF CREDIT HOUR PRODUCTION</t>
  </si>
  <si>
    <t>Fall 2009</t>
  </si>
  <si>
    <t>TAB TITLE</t>
  </si>
  <si>
    <t>DESCRIPTION</t>
  </si>
  <si>
    <t>Res_NonRes</t>
  </si>
  <si>
    <t>Headcount &amp; CR</t>
  </si>
  <si>
    <t>Majors</t>
  </si>
  <si>
    <t>Ethnic_Gender</t>
  </si>
  <si>
    <t>FTPT</t>
  </si>
  <si>
    <t>Prev_HS</t>
  </si>
  <si>
    <t>New Students</t>
  </si>
  <si>
    <t>RESIDENT STUDENTS</t>
  </si>
  <si>
    <t>UnderGraduates</t>
  </si>
  <si>
    <t>Graduates</t>
  </si>
  <si>
    <t>TOTAL</t>
  </si>
  <si>
    <t>Degree Status</t>
  </si>
  <si>
    <t>Non-Degree Status</t>
  </si>
  <si>
    <t>RESIDENT</t>
  </si>
  <si>
    <t>Fall 2001</t>
  </si>
  <si>
    <t>Projection</t>
  </si>
  <si>
    <t>Fall 2000</t>
  </si>
  <si>
    <t>Actual</t>
  </si>
  <si>
    <t>Fall 1999</t>
  </si>
  <si>
    <t>Spring 2002</t>
  </si>
  <si>
    <t>Spring 2001</t>
  </si>
  <si>
    <t>Spring 2000</t>
  </si>
  <si>
    <t>Sum 2002</t>
  </si>
  <si>
    <t>NON RESIDENT STUDENTS</t>
  </si>
  <si>
    <t>NON RESIDENT</t>
  </si>
  <si>
    <t>Fall 2002</t>
  </si>
  <si>
    <t>HEADCOUNT</t>
  </si>
  <si>
    <t>Spring 2003</t>
  </si>
  <si>
    <t>Notes:</t>
  </si>
  <si>
    <t>2) Headcount includes all full-time &amp; part-time students</t>
  </si>
  <si>
    <t>TOTAL STUDENTS</t>
  </si>
  <si>
    <t>Actual (corrected)</t>
  </si>
  <si>
    <t>Fall 2003</t>
  </si>
  <si>
    <t>5) Intersession is included in figures for Fall semester 1999-2001(NOTE:  due to typhoon pongsona, 2002 Intersession was canceled)</t>
  </si>
  <si>
    <t>data pending</t>
  </si>
  <si>
    <t>Fall 2004</t>
  </si>
  <si>
    <t>Spring 2004</t>
  </si>
  <si>
    <t>INTERSESSION</t>
  </si>
  <si>
    <t>Spring 2005</t>
  </si>
  <si>
    <t>Summer 2004</t>
  </si>
  <si>
    <t>Summer 2003</t>
  </si>
  <si>
    <t>Summer 2002</t>
  </si>
  <si>
    <t>Summer 2001</t>
  </si>
  <si>
    <t>Summer 2000</t>
  </si>
  <si>
    <t>Summer 2005</t>
  </si>
  <si>
    <t>Tentative</t>
  </si>
  <si>
    <t>Fall 2005</t>
  </si>
  <si>
    <t>Non-Degree Status (includes PostGrad)</t>
  </si>
  <si>
    <t>Spring 2006</t>
  </si>
  <si>
    <t>Summer 2006</t>
  </si>
  <si>
    <t>Fall 2006</t>
  </si>
  <si>
    <t>6) beginning Fall 2002, counts for undergraduate, non-degree is based on MAJOR field, code NEST, NDST, and NSE</t>
  </si>
  <si>
    <t>7) beginning Spring 2005, counts for non-degree undergraduate includes postgraduates</t>
  </si>
  <si>
    <t>TERM</t>
  </si>
  <si>
    <t>MAJOR</t>
  </si>
  <si>
    <t>GR</t>
  </si>
  <si>
    <t>UG</t>
  </si>
  <si>
    <t>% of Total Enrollment</t>
  </si>
  <si>
    <t>Student Enrollment by Ethnicity and Gender</t>
  </si>
  <si>
    <t>Gender</t>
  </si>
  <si>
    <t>Headcount</t>
  </si>
  <si>
    <t>%</t>
  </si>
  <si>
    <t>New Freshman Enrollment by High School or Previous Institution</t>
  </si>
  <si>
    <t>NEW FRESHMAN</t>
  </si>
  <si>
    <t>START TERM</t>
  </si>
  <si>
    <t>New Student Enrollment by Program Level/Admission Status</t>
  </si>
  <si>
    <t>ADMIT_CODE</t>
  </si>
  <si>
    <t>Total New Students</t>
  </si>
  <si>
    <t>Spring 2007</t>
  </si>
  <si>
    <t>Female</t>
  </si>
  <si>
    <t>Male</t>
  </si>
  <si>
    <t>By Federal Reporting Ethnic Code Category:</t>
  </si>
  <si>
    <t>B2</t>
  </si>
  <si>
    <t>NE</t>
  </si>
  <si>
    <t>Load</t>
  </si>
  <si>
    <t>Total</t>
  </si>
  <si>
    <t>FRESHMAN</t>
  </si>
  <si>
    <t>JUNIOR</t>
  </si>
  <si>
    <t>NATN'L STUD EXCHANGE</t>
  </si>
  <si>
    <t>POST GRADUATE</t>
  </si>
  <si>
    <t>SENIOR</t>
  </si>
  <si>
    <t>SOPHOMORE</t>
  </si>
  <si>
    <t>Fall 2007</t>
  </si>
  <si>
    <t>Summer 2007</t>
  </si>
  <si>
    <t>11</t>
  </si>
  <si>
    <t>9</t>
  </si>
  <si>
    <t>Back to Table Of Contents</t>
  </si>
  <si>
    <t>Fall 2008</t>
  </si>
  <si>
    <t>Summer 2008</t>
  </si>
  <si>
    <t>Spring 2009</t>
  </si>
  <si>
    <t>Spring 2008</t>
  </si>
  <si>
    <t>{not available}</t>
  </si>
  <si>
    <t>CLASS LEVEL</t>
  </si>
  <si>
    <t>Summer 2009</t>
  </si>
  <si>
    <t>CONTENTS</t>
  </si>
  <si>
    <t>Spring 2010</t>
  </si>
  <si>
    <t>Full time</t>
  </si>
  <si>
    <t>Part time</t>
  </si>
  <si>
    <t>ASIAN</t>
  </si>
  <si>
    <t>Grand Total</t>
  </si>
  <si>
    <t>Degree-Seeking Status</t>
  </si>
  <si>
    <t>Fall 2010</t>
  </si>
  <si>
    <t>Summer 2010</t>
  </si>
  <si>
    <t>Credit Hours</t>
  </si>
  <si>
    <t>FTE</t>
  </si>
  <si>
    <t>n/a</t>
  </si>
  <si>
    <t>Academic  Level</t>
  </si>
  <si>
    <t>Student Enrollment by College/Academic Level/Major/Gender/Load/Class Level</t>
  </si>
  <si>
    <t>Spring 2011</t>
  </si>
  <si>
    <t>1) FTE = Full Time Equivalent</t>
  </si>
  <si>
    <t>3) Undergraduate FTE is calculated by dividing all Undergraduate credit hours by 12</t>
  </si>
  <si>
    <t>4) Graduate FTE is calculated by dividing all Graduate credit hours by 9</t>
  </si>
  <si>
    <t>Academic Level</t>
  </si>
  <si>
    <t>Percentage by Gender</t>
  </si>
  <si>
    <t>Summer 2011</t>
  </si>
  <si>
    <t>Fall 2011</t>
  </si>
  <si>
    <t>Term</t>
  </si>
  <si>
    <t>Overall</t>
  </si>
  <si>
    <t>Undergraduate</t>
  </si>
  <si>
    <t>% of Enrollment</t>
  </si>
  <si>
    <t>Undergraduate Subtotal</t>
  </si>
  <si>
    <t>Non-Degree Subtotal</t>
  </si>
  <si>
    <t>Graduate Subtotal</t>
  </si>
  <si>
    <t>ACADEMIC LEVEL</t>
  </si>
  <si>
    <t>PACIFIC ISLANDER</t>
  </si>
  <si>
    <t>ATTEMPTED CREDIT HOURS</t>
  </si>
  <si>
    <t>Subtotal Full time</t>
  </si>
  <si>
    <t>Average Credits Enrolled</t>
  </si>
  <si>
    <t>Student Enrollment by Load and Academic Level</t>
  </si>
  <si>
    <t>Subtotal Part time</t>
  </si>
  <si>
    <t>Total Headcount</t>
  </si>
  <si>
    <t>Cred Hr Prod</t>
  </si>
  <si>
    <t>NonDegree UG</t>
  </si>
  <si>
    <t>Average Credits Enrolled - Part time</t>
  </si>
  <si>
    <t>Average Credits Enrolled - Full time</t>
  </si>
  <si>
    <t>New Student Enrollment by Academic Level, Admission Status, and Gender</t>
  </si>
  <si>
    <t>Prior Year Variance</t>
  </si>
  <si>
    <t>Acad Level</t>
  </si>
  <si>
    <t>Within Overall Acad Level</t>
  </si>
  <si>
    <t>Overall HeadCount, Credits, FTE by Resident, Non-Resident Student Type</t>
  </si>
  <si>
    <t>Overall HeadCount, Credits, FTE by Undergraduate, Graduate and Non-Degree Type</t>
  </si>
  <si>
    <t>Head count</t>
  </si>
  <si>
    <t>Spring 2012</t>
  </si>
  <si>
    <t>HISPANIC</t>
  </si>
  <si>
    <t>OTHER</t>
  </si>
  <si>
    <t>Subject</t>
  </si>
  <si>
    <t>Course</t>
  </si>
  <si>
    <t>Course Enrollment</t>
  </si>
  <si>
    <t>Credit Hour Production</t>
  </si>
  <si>
    <t>Title</t>
  </si>
  <si>
    <t>Summer 2012</t>
  </si>
  <si>
    <t>Fall 2012</t>
  </si>
  <si>
    <t>BLACK, NON-HISPANIC</t>
  </si>
  <si>
    <t>WHITE, NON-HISPANIC</t>
  </si>
  <si>
    <t>Spring 2013</t>
  </si>
  <si>
    <t>Part</t>
  </si>
  <si>
    <t>Full</t>
  </si>
  <si>
    <t>% of Total Academic Level</t>
  </si>
  <si>
    <t>NONRES ALIEN</t>
  </si>
  <si>
    <t>Federal Race/Ethnicity Category</t>
  </si>
  <si>
    <t>GRADUATE 
NON DEGREE</t>
  </si>
  <si>
    <t>Full Time</t>
  </si>
  <si>
    <t>Part Time</t>
  </si>
  <si>
    <t>Credit Hour Production by College/Academic Level/Subject</t>
  </si>
  <si>
    <t>CR Hr Prod Summary</t>
  </si>
  <si>
    <t>CR Hr Prod</t>
  </si>
  <si>
    <t>TOTAL New Freshmen</t>
  </si>
  <si>
    <t>Fall 2013</t>
  </si>
  <si>
    <t>Degree Seeking Type</t>
  </si>
  <si>
    <t>All Types</t>
  </si>
  <si>
    <t>Total Enrollment by Type/Gender/Load</t>
  </si>
  <si>
    <t>College/ School</t>
  </si>
  <si>
    <t>AMERICAN INDIAN/ ALASKAN NATIVE</t>
  </si>
  <si>
    <t>Summer 2013</t>
  </si>
  <si>
    <t>Spring 2014</t>
  </si>
  <si>
    <t>% of UG</t>
  </si>
  <si>
    <t>% of GR</t>
  </si>
  <si>
    <t>GR Full Time</t>
  </si>
  <si>
    <t>UG Part Time</t>
  </si>
  <si>
    <t>New Freshman</t>
  </si>
  <si>
    <t>Transfer</t>
  </si>
  <si>
    <t>High School</t>
  </si>
  <si>
    <t>Non Degree</t>
  </si>
  <si>
    <t>Nat'L Student Exchange</t>
  </si>
  <si>
    <t>Non-Degree</t>
  </si>
  <si>
    <t>Admission Status</t>
  </si>
  <si>
    <t>Subtotal New Undergraduate Students</t>
  </si>
  <si>
    <t>Subtotal New Graduate Students</t>
  </si>
  <si>
    <t>2nd Baccalaureate</t>
  </si>
  <si>
    <t>Graduate from UOG</t>
  </si>
  <si>
    <t>Within College/School</t>
  </si>
  <si>
    <t>Fall 2014</t>
  </si>
  <si>
    <t>Summer 2014</t>
  </si>
  <si>
    <t>Course Subject</t>
  </si>
  <si>
    <t>Spring 2015</t>
  </si>
  <si>
    <t>Summer 2015</t>
  </si>
  <si>
    <t>Fall 2015</t>
  </si>
  <si>
    <t>Percent of Type</t>
  </si>
  <si>
    <t>Spring 2016</t>
  </si>
  <si>
    <t>Fall 2016</t>
  </si>
  <si>
    <t>Summer 2016</t>
  </si>
  <si>
    <t>16FA_UOGENR_Crosstab_newfreshmenhighschool_standard_report</t>
  </si>
  <si>
    <t>START_TERM</t>
  </si>
  <si>
    <t>16/FA</t>
  </si>
  <si>
    <t>New Freshmen Enrollment by High School</t>
  </si>
  <si>
    <t>Track,
Specialization,
or
Concentration</t>
  </si>
  <si>
    <t>CLASS</t>
  </si>
  <si>
    <t>UG SUBTOTAL CLASS</t>
  </si>
  <si>
    <t>GR SUBTOTAL CLASS</t>
  </si>
  <si>
    <t>TOTAL CLASS</t>
  </si>
  <si>
    <t>CNAS</t>
  </si>
  <si>
    <t>UG SUBTOTAL CNAS</t>
  </si>
  <si>
    <t>GR SUBTOTAL CNAS</t>
  </si>
  <si>
    <t>TOTAL CNAS</t>
  </si>
  <si>
    <t>EMSS</t>
  </si>
  <si>
    <t>UG SUBTOTAL EMSS</t>
  </si>
  <si>
    <t>TOTAL EMSS</t>
  </si>
  <si>
    <t>SBPA</t>
  </si>
  <si>
    <t>UG SUBTOTAL SBPA</t>
  </si>
  <si>
    <t>GR SUBTOTAL SBPA</t>
  </si>
  <si>
    <t>TOTAL SBPA</t>
  </si>
  <si>
    <t>SOE</t>
  </si>
  <si>
    <t>UG SUBTOTAL SOE</t>
  </si>
  <si>
    <t>GR SUBTOTAL SOE</t>
  </si>
  <si>
    <t>TOTAL SOE</t>
  </si>
  <si>
    <t>UNDERGRADUATE TOTAL</t>
  </si>
  <si>
    <t>GRADUATE TOTAL</t>
  </si>
  <si>
    <t>GRAND TOTAL</t>
  </si>
  <si>
    <t>College/School</t>
  </si>
  <si>
    <t>Undergraduate Level</t>
  </si>
  <si>
    <t>Graduate Level</t>
  </si>
  <si>
    <t>College of Liberal Arts and Social Sciences</t>
  </si>
  <si>
    <t>College of Natural and Applied Sciences</t>
  </si>
  <si>
    <t>Enrollment Management and Student Success</t>
  </si>
  <si>
    <t>School of Business and Public Administration</t>
  </si>
  <si>
    <t>School of Education</t>
  </si>
  <si>
    <t>UNDERGRADUATE Total</t>
  </si>
  <si>
    <t>ART Total</t>
  </si>
  <si>
    <t>GRADUATE Total</t>
  </si>
  <si>
    <t>ENGINEERING SCIENCE Total</t>
  </si>
  <si>
    <t>BUSINESS ADMIN Total</t>
  </si>
  <si>
    <t>LEGAL STUDIES Total</t>
  </si>
  <si>
    <t>HEALTH SCIENCES Total</t>
  </si>
  <si>
    <t>NURSING Total</t>
  </si>
  <si>
    <t>SOCIAL WORK Total</t>
  </si>
  <si>
    <t>EDUCATION Total</t>
  </si>
  <si>
    <t>PHYSICAL EDUCATION Total</t>
  </si>
  <si>
    <t>Within College/ School</t>
  </si>
  <si>
    <t>Senior</t>
  </si>
  <si>
    <t>Junior</t>
  </si>
  <si>
    <t>Soph</t>
  </si>
  <si>
    <t>Fresh</t>
  </si>
  <si>
    <t>M</t>
  </si>
  <si>
    <t>F</t>
  </si>
  <si>
    <t>Class Level</t>
  </si>
  <si>
    <t>% of Total Double Enrollment</t>
  </si>
  <si>
    <t>Double Major</t>
  </si>
  <si>
    <t>Level</t>
  </si>
  <si>
    <t>Double Majors</t>
  </si>
  <si>
    <t>Student Enrollment by College/DOUBLE Major/Program Level/Course Load/Class Level/Gender</t>
  </si>
  <si>
    <t>Double Majors by Ethnicity</t>
  </si>
  <si>
    <t>Student Enrollment by College/DOUBLE Major/Program Level/Ethnicity</t>
  </si>
  <si>
    <t>PY Var.</t>
  </si>
  <si>
    <t>Spring 2017</t>
  </si>
  <si>
    <t>SENG</t>
  </si>
  <si>
    <t>Non Resident Alien</t>
  </si>
  <si>
    <t>School of Engineering</t>
  </si>
  <si>
    <t>School of Education Total</t>
  </si>
  <si>
    <t>School of Engineering Total</t>
  </si>
  <si>
    <t>School of Business and Public Administration Total</t>
  </si>
  <si>
    <t>Enrollment Management and Student Success Total</t>
  </si>
  <si>
    <t>College of Natural and Applied Sciences Total</t>
  </si>
  <si>
    <t>College of Liberal Arts and Social Sciences Total</t>
  </si>
  <si>
    <t>Library Science</t>
  </si>
  <si>
    <t>NATURAL SCIENCE Total</t>
  </si>
  <si>
    <t>Fanuchånan 2017</t>
  </si>
  <si>
    <t>COLLEGE/SCHOOL</t>
  </si>
  <si>
    <t>Student Enrollment by College/Academic Level/Major/Gender/Load/Class Level/Track/Specialization/Concentration</t>
  </si>
  <si>
    <t>Majors by concentration/ track/specialization</t>
  </si>
  <si>
    <t>Majors by Ethnicity/ concentration/ track/specialization</t>
  </si>
  <si>
    <t>Fañomnåkan 2018</t>
  </si>
  <si>
    <t>Health Sciences</t>
  </si>
  <si>
    <t>UG SUBTOTAL SENG</t>
  </si>
  <si>
    <t>TOTAL SENG</t>
  </si>
  <si>
    <t>Student Enrollment by College/Academic Level/Major/Gender/Load/Class Level/Ethnicity</t>
  </si>
  <si>
    <t>Fanuchånan 2018</t>
  </si>
  <si>
    <t>Finakpo' 2017</t>
  </si>
  <si>
    <t>Finakpo' 2018</t>
  </si>
  <si>
    <t>Hispanic</t>
  </si>
  <si>
    <t>Other</t>
  </si>
  <si>
    <t>Library Science Total</t>
  </si>
  <si>
    <t>Fañomnåkan 2019</t>
  </si>
  <si>
    <t>Head Count</t>
  </si>
  <si>
    <t>Asian</t>
  </si>
  <si>
    <t>Pacific Islander</t>
  </si>
  <si>
    <t>Federal Ethnicity Category</t>
  </si>
  <si>
    <t>Ethnicity Category</t>
  </si>
  <si>
    <t>Major</t>
  </si>
  <si>
    <t>CLASS TOTAL</t>
  </si>
  <si>
    <t>CNAS TOTAL</t>
  </si>
  <si>
    <t>EMSS TOTAL</t>
  </si>
  <si>
    <t>SBPA TOTAL</t>
  </si>
  <si>
    <t>SENG TOTAL</t>
  </si>
  <si>
    <t>SOE TOTAL</t>
  </si>
  <si>
    <t>LANGUAGE: FRENCH Total</t>
  </si>
  <si>
    <r>
      <t>First Time, Full Time, Degree Seeking</t>
    </r>
    <r>
      <rPr>
        <b/>
        <sz val="12"/>
        <rFont val="Calibri"/>
        <family val="2"/>
        <scheme val="minor"/>
      </rPr>
      <t xml:space="preserve"> Freshmen</t>
    </r>
  </si>
  <si>
    <t>Black, Non-Hispanic</t>
  </si>
  <si>
    <t>White, Non-Hispanic</t>
  </si>
  <si>
    <r>
      <t xml:space="preserve">First Time, Full Time, Degree Seeking </t>
    </r>
    <r>
      <rPr>
        <b/>
        <sz val="12"/>
        <rFont val="Calibri"/>
        <family val="2"/>
        <scheme val="minor"/>
      </rPr>
      <t>Freshmen</t>
    </r>
  </si>
  <si>
    <t>American Indian/Alaskan Native</t>
  </si>
  <si>
    <t>Fanuchånan 2019</t>
  </si>
  <si>
    <t>Finakpo' 2019</t>
  </si>
  <si>
    <t>SOH</t>
  </si>
  <si>
    <t>By Gender</t>
  </si>
  <si>
    <t xml:space="preserve"> By Federal Ethnicity Category</t>
  </si>
  <si>
    <r>
      <t xml:space="preserve"> Fanuch</t>
    </r>
    <r>
      <rPr>
        <sz val="10"/>
        <color indexed="8"/>
        <rFont val="Calibri"/>
        <family val="2"/>
      </rPr>
      <t>å</t>
    </r>
    <r>
      <rPr>
        <sz val="10"/>
        <color indexed="8"/>
        <rFont val="Calibri"/>
        <family val="2"/>
        <scheme val="minor"/>
      </rPr>
      <t>nan
Cohort Start Year</t>
    </r>
  </si>
  <si>
    <t>Anthropology</t>
  </si>
  <si>
    <r>
      <t>Full Time, Incoming, Degree Seeking, Undergraduate</t>
    </r>
    <r>
      <rPr>
        <b/>
        <sz val="12"/>
        <rFont val="Calibri"/>
        <family val="2"/>
        <scheme val="minor"/>
      </rPr>
      <t xml:space="preserve"> Transfer Students</t>
    </r>
  </si>
  <si>
    <r>
      <t xml:space="preserve">Full Time, Incoming, Degree Seeking, Undergraduate </t>
    </r>
    <r>
      <rPr>
        <b/>
        <sz val="12"/>
        <rFont val="Calibri"/>
        <family val="2"/>
        <scheme val="minor"/>
      </rPr>
      <t>Transfer Students</t>
    </r>
  </si>
  <si>
    <t>TOTAL SOH</t>
  </si>
  <si>
    <t>UG SUBTOTAL SOH</t>
  </si>
  <si>
    <t>School of Health Total</t>
  </si>
  <si>
    <t xml:space="preserve"> </t>
  </si>
  <si>
    <t>Admit Status: New Freshmen</t>
  </si>
  <si>
    <t>School of Health</t>
  </si>
  <si>
    <t>LANGUAGE: SPANISH Total</t>
  </si>
  <si>
    <t>SOH TOTAL</t>
  </si>
  <si>
    <t>Fañomnåkan 2020</t>
  </si>
  <si>
    <t>Civil Engineering</t>
  </si>
  <si>
    <t>George Washington High School</t>
  </si>
  <si>
    <t>John F Kennedy High School</t>
  </si>
  <si>
    <t>Okkodo High School</t>
  </si>
  <si>
    <t>Simon Sanchez High School</t>
  </si>
  <si>
    <t>Southern High School</t>
  </si>
  <si>
    <t>ENVIRONMENTAL SCIENCE Total</t>
  </si>
  <si>
    <t>Student Enrollment by College/Academic Level/Major/Gender/Load/Class Level/Track/Specialization/ Concentration/Ethnicity</t>
  </si>
  <si>
    <t>Fanuchånan 2020</t>
  </si>
  <si>
    <t>Finakpo' 2020</t>
  </si>
  <si>
    <t>Father Duenas Memorial High School</t>
  </si>
  <si>
    <t>Guahan Academy Charter School</t>
  </si>
  <si>
    <t>Notre Dame High School</t>
  </si>
  <si>
    <t>Saint Paul Christian School</t>
  </si>
  <si>
    <t>Tiyan High School</t>
  </si>
  <si>
    <t>Xavier High School</t>
  </si>
  <si>
    <t>Fañomnåkan 2021</t>
  </si>
  <si>
    <r>
      <t>*</t>
    </r>
    <r>
      <rPr>
        <b/>
        <sz val="10"/>
        <rFont val="Calibri"/>
        <family val="2"/>
        <scheme val="minor"/>
      </rPr>
      <t>Persistance Rate</t>
    </r>
    <r>
      <rPr>
        <sz val="10"/>
        <rFont val="Calibri"/>
        <family val="2"/>
        <scheme val="minor"/>
      </rPr>
      <t xml:space="preserve"> measures the rate at which First time, Full time, Entering Freshmen students start at Fall and continue to the following Spring semester.</t>
    </r>
  </si>
  <si>
    <r>
      <t>*</t>
    </r>
    <r>
      <rPr>
        <b/>
        <sz val="10"/>
        <rFont val="Calibri"/>
        <family val="2"/>
        <scheme val="minor"/>
      </rPr>
      <t>Retention Rate</t>
    </r>
    <r>
      <rPr>
        <sz val="10"/>
        <rFont val="Calibri"/>
        <family val="2"/>
        <scheme val="minor"/>
      </rPr>
      <t xml:space="preserve"> measures the rate at which First time, Full time, Entering Freshmen students start at Fall and continue to the following Fall semester.</t>
    </r>
  </si>
  <si>
    <t>Chamorro Studies</t>
  </si>
  <si>
    <t>Communication Studies</t>
  </si>
  <si>
    <t>English (Undergrad)</t>
  </si>
  <si>
    <t>Fine Arts/Art</t>
  </si>
  <si>
    <t>Fine Arts/Music</t>
  </si>
  <si>
    <t>Fine Arts/Theater</t>
  </si>
  <si>
    <t>History</t>
  </si>
  <si>
    <t>Pacific Asian Studies Program</t>
  </si>
  <si>
    <t>Philosophy</t>
  </si>
  <si>
    <t>Political Science</t>
  </si>
  <si>
    <t>Psychology</t>
  </si>
  <si>
    <t>Sociology</t>
  </si>
  <si>
    <t>English</t>
  </si>
  <si>
    <t>CHamoru Studies</t>
  </si>
  <si>
    <t>Clinical Psychology</t>
  </si>
  <si>
    <t>Micronesian Studies</t>
  </si>
  <si>
    <t>Biology</t>
  </si>
  <si>
    <t>Chemistry</t>
  </si>
  <si>
    <t>Computer Science</t>
  </si>
  <si>
    <t>Mathematics</t>
  </si>
  <si>
    <t>Pre Dental</t>
  </si>
  <si>
    <t>Pre Medical</t>
  </si>
  <si>
    <t>Pre Pharmacy</t>
  </si>
  <si>
    <t>Pre Social Work</t>
  </si>
  <si>
    <t>Pre Veterinary</t>
  </si>
  <si>
    <t>Agriculture and Life Sciences</t>
  </si>
  <si>
    <t>Computer Information Systems</t>
  </si>
  <si>
    <t>Sustainable Agriculture, Food And Natural Resource</t>
  </si>
  <si>
    <t>Sustainable Agriculture, Food and Natural Resource</t>
  </si>
  <si>
    <t>Undeclared</t>
  </si>
  <si>
    <t>Accounting</t>
  </si>
  <si>
    <t>Criminal Justice</t>
  </si>
  <si>
    <t>General Business</t>
  </si>
  <si>
    <t>Public Admin</t>
  </si>
  <si>
    <t>Business Administration</t>
  </si>
  <si>
    <t>Public Administration</t>
  </si>
  <si>
    <t>Elementary Education</t>
  </si>
  <si>
    <t>Physical Educ/ School Health</t>
  </si>
  <si>
    <t>Secondary Education</t>
  </si>
  <si>
    <t>Undeclared Education</t>
  </si>
  <si>
    <t>Admin &amp; Supervision</t>
  </si>
  <si>
    <t>Counseling</t>
  </si>
  <si>
    <t>Reading (Graduate)</t>
  </si>
  <si>
    <t>Teaching English Second Language</t>
  </si>
  <si>
    <t>Nursing</t>
  </si>
  <si>
    <t>Pre Nursing</t>
  </si>
  <si>
    <t>Social Work</t>
  </si>
  <si>
    <t>Environmental Science</t>
  </si>
  <si>
    <t/>
  </si>
  <si>
    <t>COMM PURE</t>
  </si>
  <si>
    <t>JOUR MASS</t>
  </si>
  <si>
    <t>JOUR MASS PURE</t>
  </si>
  <si>
    <t>PURE</t>
  </si>
  <si>
    <t>LING</t>
  </si>
  <si>
    <t>LITE</t>
  </si>
  <si>
    <t>ARTS</t>
  </si>
  <si>
    <t>MUSI</t>
  </si>
  <si>
    <t>THEA</t>
  </si>
  <si>
    <t>HIED</t>
  </si>
  <si>
    <t>HIST</t>
  </si>
  <si>
    <t>CHST</t>
  </si>
  <si>
    <t>GEDU</t>
  </si>
  <si>
    <t>AGNR</t>
  </si>
  <si>
    <t>CFLS</t>
  </si>
  <si>
    <t>HNFS</t>
  </si>
  <si>
    <t>TAGP</t>
  </si>
  <si>
    <t>ABIO</t>
  </si>
  <si>
    <t>BMED</t>
  </si>
  <si>
    <t>IBIO</t>
  </si>
  <si>
    <t>CHBI</t>
  </si>
  <si>
    <t>CHEM</t>
  </si>
  <si>
    <t>CHPP</t>
  </si>
  <si>
    <t>FIEC</t>
  </si>
  <si>
    <t>ETPS</t>
  </si>
  <si>
    <t>ITHM</t>
  </si>
  <si>
    <t>MARK</t>
  </si>
  <si>
    <t>ECED</t>
  </si>
  <si>
    <t>GESC</t>
  </si>
  <si>
    <t>PHED</t>
  </si>
  <si>
    <t>PRPT</t>
  </si>
  <si>
    <t>ESHP</t>
  </si>
  <si>
    <t>HSPH</t>
  </si>
  <si>
    <t>American Indian/Native Alaskan</t>
  </si>
  <si>
    <t>Asian/Pacific Islander</t>
  </si>
  <si>
    <t>Asian-Chinese</t>
  </si>
  <si>
    <t>Asian-Filipino</t>
  </si>
  <si>
    <t>Asian-Indian</t>
  </si>
  <si>
    <t>Asian-Japanese</t>
  </si>
  <si>
    <t>Asian-Korean</t>
  </si>
  <si>
    <t>Asian-Other</t>
  </si>
  <si>
    <t>Asian-Thai</t>
  </si>
  <si>
    <t>Asian-Vietnamese</t>
  </si>
  <si>
    <t>Chamorro-CNMI-Rota,Tinian,Saipan</t>
  </si>
  <si>
    <t>Chamorro-Guam</t>
  </si>
  <si>
    <t>Micronesian-Chuukese</t>
  </si>
  <si>
    <t>Micronesian-Kosraean</t>
  </si>
  <si>
    <t>Micronesian-Marshallese</t>
  </si>
  <si>
    <t>Micronesian-Palauan</t>
  </si>
  <si>
    <t>Micronesian-Ponapean</t>
  </si>
  <si>
    <t>Micronesian-Yapese</t>
  </si>
  <si>
    <t>Pacific -Other</t>
  </si>
  <si>
    <t>Spanish</t>
  </si>
  <si>
    <t>White Non Hispanic</t>
  </si>
  <si>
    <t>Home Schooled</t>
  </si>
  <si>
    <t>Philippines High School</t>
  </si>
  <si>
    <t>AN</t>
  </si>
  <si>
    <t>AR</t>
  </si>
  <si>
    <t>CM</t>
  </si>
  <si>
    <t>CO</t>
  </si>
  <si>
    <t>CT</t>
  </si>
  <si>
    <t>EN</t>
  </si>
  <si>
    <t>FA</t>
  </si>
  <si>
    <t>GE</t>
  </si>
  <si>
    <t>HI</t>
  </si>
  <si>
    <t>JA</t>
  </si>
  <si>
    <t>KO</t>
  </si>
  <si>
    <t>LN</t>
  </si>
  <si>
    <t>MU</t>
  </si>
  <si>
    <t>PI</t>
  </si>
  <si>
    <t>PS</t>
  </si>
  <si>
    <t>PY</t>
  </si>
  <si>
    <t>SO</t>
  </si>
  <si>
    <t>TA</t>
  </si>
  <si>
    <t>TH</t>
  </si>
  <si>
    <t>WG</t>
  </si>
  <si>
    <t>MI</t>
  </si>
  <si>
    <t>AL</t>
  </si>
  <si>
    <t>BI</t>
  </si>
  <si>
    <t>CH</t>
  </si>
  <si>
    <t>CS</t>
  </si>
  <si>
    <t>MA</t>
  </si>
  <si>
    <t>Military Science &amp; Leadership</t>
  </si>
  <si>
    <t>PH</t>
  </si>
  <si>
    <t>EV</t>
  </si>
  <si>
    <t>FY</t>
  </si>
  <si>
    <t>BA</t>
  </si>
  <si>
    <t>CSM</t>
  </si>
  <si>
    <t>LW</t>
  </si>
  <si>
    <t>PA</t>
  </si>
  <si>
    <t>CEE</t>
  </si>
  <si>
    <t>ED</t>
  </si>
  <si>
    <t>PE</t>
  </si>
  <si>
    <t>HS</t>
  </si>
  <si>
    <t>NU</t>
  </si>
  <si>
    <t>SW</t>
  </si>
  <si>
    <t>INTRODUCTION TO ART</t>
  </si>
  <si>
    <t>STUDIO FOR NON-MAJORS</t>
  </si>
  <si>
    <t>DRAWING I</t>
  </si>
  <si>
    <t>BASIC CERAMICS</t>
  </si>
  <si>
    <t>INTERMEDIATE SCULPTURE</t>
  </si>
  <si>
    <t>INTERMEDIATE CERAMICS</t>
  </si>
  <si>
    <t>FUNDAMENTALS OF COMMUNICATION</t>
  </si>
  <si>
    <t>MEDIA WRITING</t>
  </si>
  <si>
    <t>COMMUNICATION INTERNSHIP</t>
  </si>
  <si>
    <t>CRITICAL THINKING</t>
  </si>
  <si>
    <t>ELEMENTARY KOREAN I</t>
  </si>
  <si>
    <t>FRESHMAN COMPOSITION</t>
  </si>
  <si>
    <t>WRITING FOR RESEARCH</t>
  </si>
  <si>
    <t>LITERATURE, MYTH AND CULTURE</t>
  </si>
  <si>
    <t>ADVANCED COMPOSITION</t>
  </si>
  <si>
    <t>INTRODUCTION TO GEOGRAPHY</t>
  </si>
  <si>
    <t>WORLD REGIONAL GEOGRAPHY</t>
  </si>
  <si>
    <t>WORLD HISTORY I</t>
  </si>
  <si>
    <t>WORLD HISTORY II</t>
  </si>
  <si>
    <t>EARLY AMERICA</t>
  </si>
  <si>
    <t>MODERN AMERICA</t>
  </si>
  <si>
    <t>HISTORY OF GUAM</t>
  </si>
  <si>
    <t>HISTORY OF MICRONESIA</t>
  </si>
  <si>
    <t>ELEMENTARY CHAMORU I</t>
  </si>
  <si>
    <t>ELEMENTARY CHAMORU II</t>
  </si>
  <si>
    <t>ELEMENTARY JAPANESE I</t>
  </si>
  <si>
    <t>ELEMENTARY JAPANESE II</t>
  </si>
  <si>
    <t>CONVERSATIONAL TAGALOG I</t>
  </si>
  <si>
    <t>CONVERSATIONAL TAGALOG II</t>
  </si>
  <si>
    <t>ACTING I</t>
  </si>
  <si>
    <t>THEATER PRACTICUM</t>
  </si>
  <si>
    <t>INTRODUCTION TO LANGUAGE</t>
  </si>
  <si>
    <t>APPLIED LINGUISTICS</t>
  </si>
  <si>
    <t>MUSIC FUNDAMENTALS</t>
  </si>
  <si>
    <t>UNIVERSITY SINGERS</t>
  </si>
  <si>
    <t>BAND</t>
  </si>
  <si>
    <t>INTRODUCTION TO MUSIC</t>
  </si>
  <si>
    <t>CLASS VOICE</t>
  </si>
  <si>
    <t>UPPER DIVISION BAND</t>
  </si>
  <si>
    <t>INTRODUCTION TO PHILOSOPHY</t>
  </si>
  <si>
    <t>CONTEMPORARY ETHICAL PROBLEMS</t>
  </si>
  <si>
    <t>PERSONAL ADJUSTMENT</t>
  </si>
  <si>
    <t>GENERAL PSYCHOLOGY</t>
  </si>
  <si>
    <t>PSYCHOLOGY PRACTICUM</t>
  </si>
  <si>
    <t>CONTEMPORARY SOCIAL PROBLEMS</t>
  </si>
  <si>
    <t>AGING: MYTH AND REALITIES</t>
  </si>
  <si>
    <t>THESIS</t>
  </si>
  <si>
    <t>HUMAN NUTRITION</t>
  </si>
  <si>
    <t>COMMUNITY PLANNING</t>
  </si>
  <si>
    <t>INTERNSHIP</t>
  </si>
  <si>
    <t>CAPSTONE SEMINAR</t>
  </si>
  <si>
    <t>ENVIRONMENTAL BIOLOGY</t>
  </si>
  <si>
    <t>GENERAL CHEMISTRY</t>
  </si>
  <si>
    <t>GENERAL CHEMISTRY LABORATORY</t>
  </si>
  <si>
    <t>ORGANIC CHEMISTRY</t>
  </si>
  <si>
    <t>SPECIAL PROJECT</t>
  </si>
  <si>
    <t>COMPUTER APPLICATIONS</t>
  </si>
  <si>
    <t>PROGRAMMING I</t>
  </si>
  <si>
    <t>ADVANCED TOPICS IN COMPUTING</t>
  </si>
  <si>
    <t>FUNDAMENTALS OF MATHEMATICS</t>
  </si>
  <si>
    <t>INTRODUCTORY COLLEGE ALGEBRA</t>
  </si>
  <si>
    <t>INTRODUCTORY STATISTICS</t>
  </si>
  <si>
    <t>PRECALCULUS</t>
  </si>
  <si>
    <t>CALCULUS I</t>
  </si>
  <si>
    <t>CALCULUS II</t>
  </si>
  <si>
    <t>MULTIVARIABLE CALCULUS</t>
  </si>
  <si>
    <t>LINEAR ALGEBRA</t>
  </si>
  <si>
    <t>DISCRETE STRUCTURES</t>
  </si>
  <si>
    <t>APPLIED STATISTICS</t>
  </si>
  <si>
    <t>INDEPENDENT READING</t>
  </si>
  <si>
    <t>UNIVERSITY PHYSICS</t>
  </si>
  <si>
    <t>SEMINAR</t>
  </si>
  <si>
    <t>FIRST YEAR SEMINAR</t>
  </si>
  <si>
    <t>PRINCIPLES OF ECONOMICS</t>
  </si>
  <si>
    <t>BUSINESS ESSENTIALS</t>
  </si>
  <si>
    <t>BASIC BUSINESS FINANCE</t>
  </si>
  <si>
    <t>MANAGEMENT OF ORGANIZATIONS</t>
  </si>
  <si>
    <t>HUMAN RESOURCE MANAGEMENT</t>
  </si>
  <si>
    <t>INTERNATIONAL TOURISM</t>
  </si>
  <si>
    <t>FUNDAMENTALS OF MARKETING</t>
  </si>
  <si>
    <t>INTERMEDIATE ACCOUNTING I</t>
  </si>
  <si>
    <t>INTERMEDIATE ACCOUNTING II</t>
  </si>
  <si>
    <t>INCOME TAXATION</t>
  </si>
  <si>
    <t>INTERNATIONAL ACCOUNTING</t>
  </si>
  <si>
    <t>PERSONAL FINANCIAL PLANNING</t>
  </si>
  <si>
    <t>MANAGEMENT INFORMATION SYSTEMS</t>
  </si>
  <si>
    <t>ADVANCED ACCOUNTING</t>
  </si>
  <si>
    <t>GOVERNMENT ACCOUNTING</t>
  </si>
  <si>
    <t>ACCOUNTING SYSTEMS</t>
  </si>
  <si>
    <t>AUDITING I</t>
  </si>
  <si>
    <t>ACCOUNTING INTERNSHIP</t>
  </si>
  <si>
    <t>ETHICS FOR THE ACCOUNTANT</t>
  </si>
  <si>
    <t>MANAGERIAL ECONOMICS</t>
  </si>
  <si>
    <t>ORGANIZATIONAL BEHAVIOR</t>
  </si>
  <si>
    <t>BUSINESS STRATEGY AND POLICY</t>
  </si>
  <si>
    <t>CYBERSECURITY MANAGEMENT Total</t>
  </si>
  <si>
    <t>PERSONAL LAW</t>
  </si>
  <si>
    <t>TRIAL AND EVIDENCE</t>
  </si>
  <si>
    <t>CRIMINAL LAW</t>
  </si>
  <si>
    <t>CONSTITUTIONAL LAW</t>
  </si>
  <si>
    <t>BUSINESS LAW II</t>
  </si>
  <si>
    <t>CRIMINAL JUSTICE CAPSTONE</t>
  </si>
  <si>
    <t>LEGAL STUDIES INTERNSHIP</t>
  </si>
  <si>
    <t>GOVERNMENT FINANCE</t>
  </si>
  <si>
    <t>GOVERNMENT PUBLIC INFORMATION</t>
  </si>
  <si>
    <t>THE ECONOMICS OF HEALTH CARE</t>
  </si>
  <si>
    <t>PUBLIC FINANCE &amp; FISCAL POLICY</t>
  </si>
  <si>
    <t>APPLIED RESEARCH METHODOLOGY</t>
  </si>
  <si>
    <t>ADMINISTRATIVE THOUGHT</t>
  </si>
  <si>
    <t>PRACTICUM</t>
  </si>
  <si>
    <t>ENGINEERING ORIENTATION</t>
  </si>
  <si>
    <t>ENGINEERING GRAPHICS</t>
  </si>
  <si>
    <t>ENGINEERING STATICS</t>
  </si>
  <si>
    <t>ENGINEERING DYNAMICS</t>
  </si>
  <si>
    <t>GEOTECHNICAL ENGINEERING</t>
  </si>
  <si>
    <t>CIVIL ENGINEERING MATERIALS</t>
  </si>
  <si>
    <t>CIVIL ENGINEERING DESIGN I</t>
  </si>
  <si>
    <t>EDUCATIONAL PSYCHOLOGY</t>
  </si>
  <si>
    <t>METHODS PRACTICUM</t>
  </si>
  <si>
    <t>EVALUATION</t>
  </si>
  <si>
    <t>QUANTITATIVE ANALYSIS</t>
  </si>
  <si>
    <t>THESIS:</t>
  </si>
  <si>
    <t>COMPREHENSIVE EXAM</t>
  </si>
  <si>
    <t>CONDITIONING AND FITNESS</t>
  </si>
  <si>
    <t>STRENGTH TRAINING</t>
  </si>
  <si>
    <t>AEROBIC DANCE</t>
  </si>
  <si>
    <t>HEALTH AND WELLNESS</t>
  </si>
  <si>
    <t>EPIDEMIOLOGY</t>
  </si>
  <si>
    <t>INTERNSHIP IN HEALTH SCIENCES</t>
  </si>
  <si>
    <t>MEDICAL TERMINOLOGY</t>
  </si>
  <si>
    <t>AGING: MYTH &amp; REALITIES</t>
  </si>
  <si>
    <t>FIELDS OF SOCIAL WORK PRACTICE</t>
  </si>
  <si>
    <t>FIELD INSTRUCTION</t>
  </si>
  <si>
    <t>Secondary Education (MAT)</t>
  </si>
  <si>
    <t>Secondary Education (MED)</t>
  </si>
  <si>
    <t>BUSINESS ADMINISTRATION Total</t>
  </si>
  <si>
    <t>PUBLIC ADMINISTRATION Total</t>
  </si>
  <si>
    <t>Fanuchånan 2021</t>
  </si>
  <si>
    <t>Finakpo' 2021</t>
  </si>
  <si>
    <t>Fanuchånan (Fall)</t>
  </si>
  <si>
    <t>Fañomnåkan (Spring)</t>
  </si>
  <si>
    <t>Finakpo' (Summer)</t>
  </si>
  <si>
    <t>21/FA</t>
  </si>
  <si>
    <t>Innovations in Teaching &amp; Learning</t>
  </si>
  <si>
    <t>Reading</t>
  </si>
  <si>
    <t>Busines Administration (PMBA)</t>
  </si>
  <si>
    <t xml:space="preserve">Special Ed </t>
  </si>
  <si>
    <t>NOT REPORTED</t>
  </si>
  <si>
    <t>COLLEGE/ SCHOOL</t>
  </si>
  <si>
    <t>COMM</t>
  </si>
  <si>
    <t>DCMJ</t>
  </si>
  <si>
    <t>CHCT</t>
  </si>
  <si>
    <t>CHED</t>
  </si>
  <si>
    <t>EDUC</t>
  </si>
  <si>
    <t>POSC</t>
  </si>
  <si>
    <t>FIEC HRMG</t>
  </si>
  <si>
    <t xml:space="preserve">HRMG </t>
  </si>
  <si>
    <t>PATH</t>
  </si>
  <si>
    <t>Business Admin (PMBA)</t>
  </si>
  <si>
    <t>ART</t>
  </si>
  <si>
    <t>MATH</t>
  </si>
  <si>
    <t>ETHNICITY</t>
  </si>
  <si>
    <t>UNDERGRAD
 NON DEGREE</t>
  </si>
  <si>
    <t>UNDERGRAD 
NON DEGREE</t>
  </si>
  <si>
    <t>GRADUATE 
1ST YEAR</t>
  </si>
  <si>
    <t>GRADUATE 
2ND YR</t>
  </si>
  <si>
    <t>n/a=Not Applicable</t>
  </si>
  <si>
    <t>Student Enrollment by College/Academic Level/Major/Gender/Load/Ethnicity/Track/Specialization/Concentration</t>
  </si>
  <si>
    <t>Student Enrollment by Ethnicity, Gender, Load and Ethnicity</t>
  </si>
  <si>
    <t>n/a = Not Applicable</t>
  </si>
  <si>
    <t>NonResident Alien</t>
  </si>
  <si>
    <t>Asian American</t>
  </si>
  <si>
    <t>Black Non Hispanic</t>
  </si>
  <si>
    <t>Chamorro-Cnmi-Rota,Tinian,Saipan</t>
  </si>
  <si>
    <t>Micronesian-Carolinian</t>
  </si>
  <si>
    <t>Not Reported</t>
  </si>
  <si>
    <t>Academy Our Lady Guam</t>
  </si>
  <si>
    <t>Dept. Defense High School</t>
  </si>
  <si>
    <t>Dodea-Guam High School</t>
  </si>
  <si>
    <t>Dr. Rita H. Inos Jr. Sr. High School</t>
  </si>
  <si>
    <t>Grace Christian Academy</t>
  </si>
  <si>
    <t>Guam Adventist Academy</t>
  </si>
  <si>
    <t>Harvest Christian Academy</t>
  </si>
  <si>
    <t>Marianas High School</t>
  </si>
  <si>
    <t>Palau High School</t>
  </si>
  <si>
    <t>Saipan Southern High School</t>
  </si>
  <si>
    <t>SDA - Pohnpei</t>
  </si>
  <si>
    <t>St. Paul Christian Academy</t>
  </si>
  <si>
    <t>Temple Christian School</t>
  </si>
  <si>
    <t>US - Texas High School</t>
  </si>
  <si>
    <t>Yap Catholic High School</t>
  </si>
  <si>
    <t>HIGH SCHOOL</t>
  </si>
  <si>
    <t>2021 Fanuchånan</t>
  </si>
  <si>
    <t>Retention Tracking by Gender/Ethnicity</t>
  </si>
  <si>
    <t>Cohort Head Count</t>
  </si>
  <si>
    <t>Cohort Headcount</t>
  </si>
  <si>
    <t>Retention Tracking by College/Program</t>
  </si>
  <si>
    <t>ASL</t>
  </si>
  <si>
    <t>ANTHROPOLOGY</t>
  </si>
  <si>
    <t>COMMUNICATION</t>
  </si>
  <si>
    <t>ENGLISH/LITERATURE</t>
  </si>
  <si>
    <t>FINE ARTS</t>
  </si>
  <si>
    <t>GEOGRAPHY</t>
  </si>
  <si>
    <t>HISTORY</t>
  </si>
  <si>
    <t>LANGUAGE: AMERICAN SIGN LANGUAGE</t>
  </si>
  <si>
    <t>LANGUAGE:CHAMORRO</t>
  </si>
  <si>
    <t>LANGUAGE:JAPANESE</t>
  </si>
  <si>
    <t>LANGUAGE:KOREAN</t>
  </si>
  <si>
    <t>LANGUAGE:TAGALOG</t>
  </si>
  <si>
    <t>LINGUISTICS</t>
  </si>
  <si>
    <t>MUSIC</t>
  </si>
  <si>
    <t>PHILOSOPHY</t>
  </si>
  <si>
    <t>POLITICAL SCIENCE</t>
  </si>
  <si>
    <t>PSYCHOLOGY</t>
  </si>
  <si>
    <t>SOCIOLOGY</t>
  </si>
  <si>
    <t>THEATRE</t>
  </si>
  <si>
    <t>WOMEN &amp; GENDER STUDIES</t>
  </si>
  <si>
    <t>MICRONESIAN STUDIES</t>
  </si>
  <si>
    <t>AGRICULTURE &amp; LIFE SCIENCES</t>
  </si>
  <si>
    <t>BIOLOGY</t>
  </si>
  <si>
    <t>CHEMISTRY</t>
  </si>
  <si>
    <t>COMPUTER SCIENCE</t>
  </si>
  <si>
    <t>MATHEMATICS</t>
  </si>
  <si>
    <t>PHYSICAL EDUCATION</t>
  </si>
  <si>
    <t>PHYSICS</t>
  </si>
  <si>
    <t>ENVIRONMENTAL SCIENCE</t>
  </si>
  <si>
    <t>NSE</t>
  </si>
  <si>
    <t>NATIONAL STUDENT EXCHANGE</t>
  </si>
  <si>
    <t>BUSINESS ADMIN</t>
  </si>
  <si>
    <t>CYBERSECURITY MANAGEMENT</t>
  </si>
  <si>
    <t>LEGAL STUDIES</t>
  </si>
  <si>
    <t>PUBLIC ADMIN</t>
  </si>
  <si>
    <t>CIVIL ENGINEERING</t>
  </si>
  <si>
    <t>EDUCATION</t>
  </si>
  <si>
    <t>HEALTH SCIENCES</t>
  </si>
  <si>
    <t>NURSING</t>
  </si>
  <si>
    <t>SOCIAL WORK</t>
  </si>
  <si>
    <t>AN_101</t>
  </si>
  <si>
    <t>INTRODUCTION TO ANTHROPOLOGY</t>
  </si>
  <si>
    <t>AN_203</t>
  </si>
  <si>
    <t>INTRODUCTION TO ARCHAEOLOGY</t>
  </si>
  <si>
    <t>AN_212</t>
  </si>
  <si>
    <t>CULTURAL ANTHROPOLOGY</t>
  </si>
  <si>
    <t>AN_234</t>
  </si>
  <si>
    <t>LINGUISTIC ANTHROPOLOGY LINGUISTIC ANTHROPOLOGY</t>
  </si>
  <si>
    <t>AN_344</t>
  </si>
  <si>
    <t>AN_413</t>
  </si>
  <si>
    <t>RESEARCH METHODS IN ANTHROPOLOGY</t>
  </si>
  <si>
    <t>AR_101</t>
  </si>
  <si>
    <t>AR_102</t>
  </si>
  <si>
    <t>AR_103</t>
  </si>
  <si>
    <t>AR_104</t>
  </si>
  <si>
    <t>BASIC DESIGN</t>
  </si>
  <si>
    <t>AR_205</t>
  </si>
  <si>
    <t>BASIC WATERCOLOR PAINTING</t>
  </si>
  <si>
    <t>AR_208</t>
  </si>
  <si>
    <t>BASIC SCULPTURE</t>
  </si>
  <si>
    <t>AR_210</t>
  </si>
  <si>
    <t>BASIC PRINTMAKING</t>
  </si>
  <si>
    <t>AR_220</t>
  </si>
  <si>
    <t>AR_240</t>
  </si>
  <si>
    <t>COMPUTER GRAPHIC DESIGN</t>
  </si>
  <si>
    <t>AR_303</t>
  </si>
  <si>
    <t>LIFE DRAWING</t>
  </si>
  <si>
    <t>AR_305</t>
  </si>
  <si>
    <t>INTERMEDIATE WATERCOLOR PAINTING</t>
  </si>
  <si>
    <t>AR_308</t>
  </si>
  <si>
    <t>AR_320</t>
  </si>
  <si>
    <t>AR_340</t>
  </si>
  <si>
    <t>DIGITAL IMAGING TECHNIQUES</t>
  </si>
  <si>
    <t>AR_404</t>
  </si>
  <si>
    <t>ADVANCED WATERCOLOR PAINTING I</t>
  </si>
  <si>
    <t>AR_409</t>
  </si>
  <si>
    <t>ADVANCED SCULPTURE II</t>
  </si>
  <si>
    <t>AR_421</t>
  </si>
  <si>
    <t>ADVANCED CERAMICS II</t>
  </si>
  <si>
    <t>CO_106</t>
  </si>
  <si>
    <t>INTRODUCTION TO MASS COMMUNICATION</t>
  </si>
  <si>
    <t>CO_210</t>
  </si>
  <si>
    <t>CO_226</t>
  </si>
  <si>
    <t>CO_228</t>
  </si>
  <si>
    <t>FILM AND TELEVISION CRITICISM</t>
  </si>
  <si>
    <t>CO_236</t>
  </si>
  <si>
    <t>BROADCAST PRODUCTION</t>
  </si>
  <si>
    <t>CO_250</t>
  </si>
  <si>
    <t>ARGUMENTATION</t>
  </si>
  <si>
    <t>CO_327</t>
  </si>
  <si>
    <t>ADVERTISING IN THE MASS MEDIA</t>
  </si>
  <si>
    <t>CO_360</t>
  </si>
  <si>
    <t>PUBLIC RELATIONS IN BUS AND PROFESSIONS</t>
  </si>
  <si>
    <t>CO_386</t>
  </si>
  <si>
    <t>MASS MEDIA EXPERIENCE: BROADCASTING</t>
  </si>
  <si>
    <t>CO_398</t>
  </si>
  <si>
    <t>CO_450</t>
  </si>
  <si>
    <t>COMMUNICATION THEORY AND RESEARCH</t>
  </si>
  <si>
    <t>CO_491</t>
  </si>
  <si>
    <t>CURRENT ISSUES IN COMMUNICATION AND SOCIETY</t>
  </si>
  <si>
    <t>CO_498</t>
  </si>
  <si>
    <t>CT_101</t>
  </si>
  <si>
    <t>EN_110</t>
  </si>
  <si>
    <t>EN_111</t>
  </si>
  <si>
    <t>EN_210</t>
  </si>
  <si>
    <t>INTRODUCTION TO LITERATURE</t>
  </si>
  <si>
    <t>EN_213</t>
  </si>
  <si>
    <t>EN_225</t>
  </si>
  <si>
    <t>INTRODUCTION TO LITERARY CRITICISM</t>
  </si>
  <si>
    <t>EN_311</t>
  </si>
  <si>
    <t>SCREENWRITING</t>
  </si>
  <si>
    <t>EN_316</t>
  </si>
  <si>
    <t>PROFESSIONAL WRITING</t>
  </si>
  <si>
    <t>EN_317</t>
  </si>
  <si>
    <t>AMERICAN LITERATURE</t>
  </si>
  <si>
    <t>EN_318</t>
  </si>
  <si>
    <t>WORLD LITERATURE</t>
  </si>
  <si>
    <t>EN_319</t>
  </si>
  <si>
    <t>EN_323</t>
  </si>
  <si>
    <t>LITERATURE BY WOMEN</t>
  </si>
  <si>
    <t>EN_333</t>
  </si>
  <si>
    <t>LITERATURE OF GUAM, MICRONESIA, AND THE PACIFIC</t>
  </si>
  <si>
    <t>EN_460</t>
  </si>
  <si>
    <t>LITERATURES IN ENGLISH</t>
  </si>
  <si>
    <t>FA_231</t>
  </si>
  <si>
    <t>SURVEY OF THE ARTS</t>
  </si>
  <si>
    <t>GE_101</t>
  </si>
  <si>
    <t>GE_201</t>
  </si>
  <si>
    <t>GE_480</t>
  </si>
  <si>
    <t>SPECIAL TOPICS IN GEOGRAPHY</t>
  </si>
  <si>
    <t>HI_121</t>
  </si>
  <si>
    <t>HI_122</t>
  </si>
  <si>
    <t>HI_201</t>
  </si>
  <si>
    <t>HI_202</t>
  </si>
  <si>
    <t>HI_211</t>
  </si>
  <si>
    <t>HI_243</t>
  </si>
  <si>
    <t>HI_306</t>
  </si>
  <si>
    <t>MODERN AMERICAN MILITARY HISTORY</t>
  </si>
  <si>
    <t>HI_308</t>
  </si>
  <si>
    <t>THE HISTORIANS' CRAFT</t>
  </si>
  <si>
    <t>HI_371</t>
  </si>
  <si>
    <t>HISTORY OF EAST ASIA TO 1600</t>
  </si>
  <si>
    <t>HI_492</t>
  </si>
  <si>
    <t>CAPSTONE IN HISTORY</t>
  </si>
  <si>
    <t>ASL_194</t>
  </si>
  <si>
    <t>AMERICAN SIGN LANGUAGE</t>
  </si>
  <si>
    <t>CM_101</t>
  </si>
  <si>
    <t>CM_102</t>
  </si>
  <si>
    <t>CM_110</t>
  </si>
  <si>
    <t>INTRO TO CHAMORU STUDIES</t>
  </si>
  <si>
    <t>CM_201</t>
  </si>
  <si>
    <t>INTERMEDIATE CHAMORU I</t>
  </si>
  <si>
    <t>CM_340</t>
  </si>
  <si>
    <t>CHAMORU CULTURE</t>
  </si>
  <si>
    <t>JA_101</t>
  </si>
  <si>
    <t>JA_102</t>
  </si>
  <si>
    <t>JA_201</t>
  </si>
  <si>
    <t>INTERMEDIATE JAPANESE I</t>
  </si>
  <si>
    <t>JA_217</t>
  </si>
  <si>
    <t>JAPANESE CULTURE AND SOCIETY</t>
  </si>
  <si>
    <t>JA_301</t>
  </si>
  <si>
    <t>THIRD YEAR JAPANESE I</t>
  </si>
  <si>
    <t>KO_101</t>
  </si>
  <si>
    <t>TA_101</t>
  </si>
  <si>
    <t>TA_102</t>
  </si>
  <si>
    <t>LN_101</t>
  </si>
  <si>
    <t>LN_300</t>
  </si>
  <si>
    <t>INTRODUCTION TO LINGUISTICS</t>
  </si>
  <si>
    <t>LN_350</t>
  </si>
  <si>
    <t>LINGUISTICS AND THE LANGUAGE ARTS</t>
  </si>
  <si>
    <t>LN_371</t>
  </si>
  <si>
    <t>WORLD ENGLISHES</t>
  </si>
  <si>
    <t>LN_400</t>
  </si>
  <si>
    <t>LN_440</t>
  </si>
  <si>
    <t>TOPICS IN LINGUISTICS</t>
  </si>
  <si>
    <t>LN_460</t>
  </si>
  <si>
    <t>INTRODUCTION TO SOCIOLINGUISTICS</t>
  </si>
  <si>
    <t>MU_104</t>
  </si>
  <si>
    <t>MU_105</t>
  </si>
  <si>
    <t>MU_106</t>
  </si>
  <si>
    <t>MU_110</t>
  </si>
  <si>
    <t>MU_121</t>
  </si>
  <si>
    <t>BEGINNING CLASS PIANO</t>
  </si>
  <si>
    <t>MU_170</t>
  </si>
  <si>
    <t>EAR TRAINING I</t>
  </si>
  <si>
    <t>MU_202</t>
  </si>
  <si>
    <t>APPLIED MUSIC</t>
  </si>
  <si>
    <t>MU_302</t>
  </si>
  <si>
    <t>INTERMEDIATE APPLIED MUSIC</t>
  </si>
  <si>
    <t>MU_304</t>
  </si>
  <si>
    <t>UPPER DIVISION UNIVERSITY SINGERS</t>
  </si>
  <si>
    <t>MU_305</t>
  </si>
  <si>
    <t>PI_101</t>
  </si>
  <si>
    <t>PI_102</t>
  </si>
  <si>
    <t>PI_103</t>
  </si>
  <si>
    <t>INRODUCTION TO ASIAN AND NON-WESTERN PHILOSOPHY</t>
  </si>
  <si>
    <t>PI_230</t>
  </si>
  <si>
    <t>INDIGENOUS PHILOSOPHY</t>
  </si>
  <si>
    <t>PI_410</t>
  </si>
  <si>
    <t>COMMUNITY ENGAGED PHILOSOPHY</t>
  </si>
  <si>
    <t>PI_481</t>
  </si>
  <si>
    <t>CAPSTONE SEMINAR IN PHILOSOPHY</t>
  </si>
  <si>
    <t>PS_101</t>
  </si>
  <si>
    <t>INTRODUCTION TO GOVERNMENT AND POLITICS</t>
  </si>
  <si>
    <t>PS_202</t>
  </si>
  <si>
    <t>GOVERNMENT IN THE UNITED STATES</t>
  </si>
  <si>
    <t>PS_225</t>
  </si>
  <si>
    <t>STATE AND TERRITORIAL GOVERNMENT</t>
  </si>
  <si>
    <t>PS_302</t>
  </si>
  <si>
    <t>COMPARATIVE POLITICS</t>
  </si>
  <si>
    <t>PS_326</t>
  </si>
  <si>
    <t>POLITICAL PHILOSOPHY</t>
  </si>
  <si>
    <t>PS_398</t>
  </si>
  <si>
    <t>PY_100</t>
  </si>
  <si>
    <t>PY_101</t>
  </si>
  <si>
    <t>PY_370</t>
  </si>
  <si>
    <t>INTRODUCTION TO CLINICAL PSYCHOLOGY</t>
  </si>
  <si>
    <t>PY_413</t>
  </si>
  <si>
    <t>RESEARCH METHODOLOGY IN THE BEHAVIORAL SCIENCES</t>
  </si>
  <si>
    <t>PY_413L</t>
  </si>
  <si>
    <t>RESEARCH METHODOLOGY IN THE BEHAVIORAL SCIENCES LAB</t>
  </si>
  <si>
    <t>PY_420</t>
  </si>
  <si>
    <t xml:space="preserve">ABNORMAL PSYCHOLOGY </t>
  </si>
  <si>
    <t>PY_426</t>
  </si>
  <si>
    <t>PERSONALITY THEORY</t>
  </si>
  <si>
    <t>PY_440</t>
  </si>
  <si>
    <t>SOCIAL PSYCHOLOGY</t>
  </si>
  <si>
    <t>PY_492A</t>
  </si>
  <si>
    <t>SO_101</t>
  </si>
  <si>
    <t>INTRODUCTION TO SOCIOLOGY</t>
  </si>
  <si>
    <t>SO_201</t>
  </si>
  <si>
    <t>CONTEMPORARY SOCIETY</t>
  </si>
  <si>
    <t>SO_202</t>
  </si>
  <si>
    <t>SO_203</t>
  </si>
  <si>
    <t>INTRODUCTION TO QUANTITATIVE AND QUALITATIVE RESEARCH METHODS</t>
  </si>
  <si>
    <t>SO_221</t>
  </si>
  <si>
    <t>SOCIOLOGY OF HEALTH AND MEDICINE</t>
  </si>
  <si>
    <t>SO_344</t>
  </si>
  <si>
    <t>SO_350</t>
  </si>
  <si>
    <t>DEVELOPMENT OF SOCIOLOGICAL THEORY - CLASSICAL</t>
  </si>
  <si>
    <t>TH_101</t>
  </si>
  <si>
    <t>INTRODUCTION TO THE THEATER</t>
  </si>
  <si>
    <t>TH_102</t>
  </si>
  <si>
    <t>TH_292</t>
  </si>
  <si>
    <t>WG_101</t>
  </si>
  <si>
    <t>INTRODUCTION TO WOMEN &amp; GENDER STUDIES</t>
  </si>
  <si>
    <t>MU_101</t>
  </si>
  <si>
    <t>EN_560</t>
  </si>
  <si>
    <t>EN_695</t>
  </si>
  <si>
    <t>GE_580</t>
  </si>
  <si>
    <t>LN_560</t>
  </si>
  <si>
    <t>MI_501</t>
  </si>
  <si>
    <t>PEOPLES AND CULTURES OF MICRO</t>
  </si>
  <si>
    <t>MI_691B</t>
  </si>
  <si>
    <t>SEMINAR IN MICRONESIAN STUDIES</t>
  </si>
  <si>
    <t>MI_695</t>
  </si>
  <si>
    <t>AL_101</t>
  </si>
  <si>
    <t>INTRODUCTION TO AGRICULTURE</t>
  </si>
  <si>
    <t>AL_101L</t>
  </si>
  <si>
    <t>INTRODUCTION TO AGRICULTURE LAB</t>
  </si>
  <si>
    <t>AL_102</t>
  </si>
  <si>
    <t>INTRODUCTION TO PLANT SCIENCE</t>
  </si>
  <si>
    <t>AL_102L</t>
  </si>
  <si>
    <t>INTRODUCTION TO PLANT SCIENCE LAB</t>
  </si>
  <si>
    <t>AL_140</t>
  </si>
  <si>
    <t>SCIENTIFIC PRINCIPLES OF FOOD PREPARATION</t>
  </si>
  <si>
    <t>AL_140L</t>
  </si>
  <si>
    <t>SCIENTIFIC PRINCIPLES OF FOOD PREPARATION LAB</t>
  </si>
  <si>
    <t>AL_185</t>
  </si>
  <si>
    <t>AL_211</t>
  </si>
  <si>
    <t>INTRODUCTION TO ANIMAL SCIENCE</t>
  </si>
  <si>
    <t>AL_211L</t>
  </si>
  <si>
    <t>INTRODUCTION TO ANIMAL SCIENCE LAB</t>
  </si>
  <si>
    <t>AL_351</t>
  </si>
  <si>
    <t>PERSONAL AND FAMILY FINANCIAL MANAGEMENT</t>
  </si>
  <si>
    <t>AL_380</t>
  </si>
  <si>
    <t>PRINCIPLES OF SOIL SCIENCE</t>
  </si>
  <si>
    <t>AL_380L</t>
  </si>
  <si>
    <t>PRINCIPLES OF SOIL SCIENCE LABORATORY</t>
  </si>
  <si>
    <t>AL_392</t>
  </si>
  <si>
    <t>LABORATORY TEACHING ASSISTANTSHIP</t>
  </si>
  <si>
    <t>AL_401</t>
  </si>
  <si>
    <t>AL_499</t>
  </si>
  <si>
    <t>BI_100</t>
  </si>
  <si>
    <t>BI_100L</t>
  </si>
  <si>
    <t>ENVIRONMENTAL BIOLOGY LABORATORY</t>
  </si>
  <si>
    <t>BI_124</t>
  </si>
  <si>
    <t>HUMAN ANATOMY AND PHYSIOLOGY I</t>
  </si>
  <si>
    <t>BI_124L</t>
  </si>
  <si>
    <t>HUMAN ANATOMY &amp; PHYSIOLOGY I LABORATORY</t>
  </si>
  <si>
    <t>BI_158</t>
  </si>
  <si>
    <t>PRINCIPLES OF BIOLOGY II</t>
  </si>
  <si>
    <t>BI_158L</t>
  </si>
  <si>
    <t>PRINCIPLES OF BIOLOGY II LABORATORY</t>
  </si>
  <si>
    <t>BI_225</t>
  </si>
  <si>
    <t>BASIC MICROBIOLOGY</t>
  </si>
  <si>
    <t>BI_225L</t>
  </si>
  <si>
    <t>BASIC MICROBIOLOGY LABORATORY</t>
  </si>
  <si>
    <t>BI_315</t>
  </si>
  <si>
    <t>GENERAL GENETICS</t>
  </si>
  <si>
    <t>BI_315L</t>
  </si>
  <si>
    <t>GENERAL GENETICS LABORATORY</t>
  </si>
  <si>
    <t>BI_321</t>
  </si>
  <si>
    <t>SCIENTIFIC ARGUMENTS</t>
  </si>
  <si>
    <t>BI_380</t>
  </si>
  <si>
    <t>OCEANOGRAPHY</t>
  </si>
  <si>
    <t>BI_380L</t>
  </si>
  <si>
    <t>OCEANOGRAPHY LABORATORY</t>
  </si>
  <si>
    <t>BI_392</t>
  </si>
  <si>
    <t>LABORATORY TEACHING AND ASSISTING</t>
  </si>
  <si>
    <t>BI_398</t>
  </si>
  <si>
    <t>BI_412</t>
  </si>
  <si>
    <t>BIOMETRICS</t>
  </si>
  <si>
    <t>BI_412L</t>
  </si>
  <si>
    <t>BIOMETRICS LABORATORY</t>
  </si>
  <si>
    <t>CH_100</t>
  </si>
  <si>
    <t>INTRODUCTION TO INORGANIC CHEMISTRY</t>
  </si>
  <si>
    <t>CH_100L</t>
  </si>
  <si>
    <t>INTRODUCTION TO INORGANIC CHEMISTRY LABORATORY</t>
  </si>
  <si>
    <t>CH_101</t>
  </si>
  <si>
    <t>INTRODUCTION TO ORGANIC CHEMISTRY</t>
  </si>
  <si>
    <t>CH_101L</t>
  </si>
  <si>
    <t>INTRODUCTION TO ORGANIC CHEMISTRY LABORATORY</t>
  </si>
  <si>
    <t>CH_102</t>
  </si>
  <si>
    <t>CH_102L</t>
  </si>
  <si>
    <t>CH_310A</t>
  </si>
  <si>
    <t>CH_311</t>
  </si>
  <si>
    <t>BASIC LABORATORY TECHNIQUES IN ORGANIC CHEMISTRY</t>
  </si>
  <si>
    <t>CH_350</t>
  </si>
  <si>
    <t>FOUNDATIONS OF PHYSICAL CHEMISTRY</t>
  </si>
  <si>
    <t>CH_350L</t>
  </si>
  <si>
    <t>FOUNDATIONS OF PHYSICAL CHEMISTRY LABORATORY</t>
  </si>
  <si>
    <t>CH_392</t>
  </si>
  <si>
    <t>CS_200</t>
  </si>
  <si>
    <t>CS_201</t>
  </si>
  <si>
    <t>CS_271</t>
  </si>
  <si>
    <t>CS_360</t>
  </si>
  <si>
    <t>INTRODUCTION TO OPERATING SYSTEMS</t>
  </si>
  <si>
    <t>CS_380</t>
  </si>
  <si>
    <t>ORG OF PROGRAMMING LANGUAGES</t>
  </si>
  <si>
    <t>CS_425</t>
  </si>
  <si>
    <t>SYSTEMS ANANLYSIS &amp; DESIGN (CAPSTONE Course)</t>
  </si>
  <si>
    <t>CS_431</t>
  </si>
  <si>
    <t>CS_492</t>
  </si>
  <si>
    <t>PRACTICUM IN COMPUTER SCIENCE</t>
  </si>
  <si>
    <t>MA_085A</t>
  </si>
  <si>
    <t>MA_085B</t>
  </si>
  <si>
    <t>MA_089</t>
  </si>
  <si>
    <t>MA_110</t>
  </si>
  <si>
    <t>BASIC MATHEMATICAL APPLICATIONS</t>
  </si>
  <si>
    <t>MA_115</t>
  </si>
  <si>
    <t>MA_150</t>
  </si>
  <si>
    <t>MATHEMATICS FOR ELEMENTARY SCHOOL TEACHERS</t>
  </si>
  <si>
    <t>MA_151</t>
  </si>
  <si>
    <t>MA_161A</t>
  </si>
  <si>
    <t>COLLEGE ALGEBRA AND TRIGONOMETRY</t>
  </si>
  <si>
    <t>MA_161B</t>
  </si>
  <si>
    <t>MA_165</t>
  </si>
  <si>
    <t>MA_203</t>
  </si>
  <si>
    <t>MA_204</t>
  </si>
  <si>
    <t>MA_205</t>
  </si>
  <si>
    <t>MA_341</t>
  </si>
  <si>
    <t>MA_385</t>
  </si>
  <si>
    <t>MA_387</t>
  </si>
  <si>
    <t>STATISTICS FOR SCIENCES</t>
  </si>
  <si>
    <t>MA_387L</t>
  </si>
  <si>
    <t>STATISTICS FOR SCIENCE LABORATORY</t>
  </si>
  <si>
    <t>MA_392</t>
  </si>
  <si>
    <t>MA_411</t>
  </si>
  <si>
    <t>INTRODUCTION TO ABSTRACT ALGEBRA I</t>
  </si>
  <si>
    <t>MA_421</t>
  </si>
  <si>
    <t>INTRODUCTION TO ANALYSIS I</t>
  </si>
  <si>
    <t>MSL</t>
  </si>
  <si>
    <t>MSL_101</t>
  </si>
  <si>
    <t>INTRODUCTION TO THE ARMY AND CRITICAL THINKING</t>
  </si>
  <si>
    <t>MSL_119</t>
  </si>
  <si>
    <t>LEADERSHIP IN PHYSICAL CONDITIONING</t>
  </si>
  <si>
    <t>MSL_201</t>
  </si>
  <si>
    <t>LEADERSHIP AND DECISION MAKING</t>
  </si>
  <si>
    <t>MSL_251</t>
  </si>
  <si>
    <t>RANGER CHALLENGE TRAINING</t>
  </si>
  <si>
    <t>MSL_301</t>
  </si>
  <si>
    <t>TRAINING MANAGEMENT AND THE WAR-FIGHTING FUNCTIONS</t>
  </si>
  <si>
    <t>MSL_351</t>
  </si>
  <si>
    <t>RANGER CHALLENGE LEADERSHIP COURSE</t>
  </si>
  <si>
    <t>MSL_399</t>
  </si>
  <si>
    <t>MSL_401</t>
  </si>
  <si>
    <t>THE ARMY OFFICER</t>
  </si>
  <si>
    <t>PH_210</t>
  </si>
  <si>
    <t>INTRODUCTORY PHYSICS LABORATORY</t>
  </si>
  <si>
    <t>PH_251</t>
  </si>
  <si>
    <t>AL_695</t>
  </si>
  <si>
    <t>BI_507</t>
  </si>
  <si>
    <t>ADVANCED STATISTICAL METHODS</t>
  </si>
  <si>
    <t>BI_508</t>
  </si>
  <si>
    <t>SCIENTIFIC COMPETENCE AND INTEGRITY</t>
  </si>
  <si>
    <t>BI_691</t>
  </si>
  <si>
    <t>BI_695</t>
  </si>
  <si>
    <t>EV_507</t>
  </si>
  <si>
    <t>EV_508</t>
  </si>
  <si>
    <t>EV_510</t>
  </si>
  <si>
    <t>ENVIRONMENTAL SCIENCE: BIOLOGY/ECOLOGY</t>
  </si>
  <si>
    <t>EV_695</t>
  </si>
  <si>
    <t>ENVIRONMENTAL SCIENCE THESIS</t>
  </si>
  <si>
    <t>EMSS Total</t>
  </si>
  <si>
    <t>FY_101</t>
  </si>
  <si>
    <t>NSE_100</t>
  </si>
  <si>
    <t>NATIONAL STUDENT EXCH. PROG - PLAN B</t>
  </si>
  <si>
    <t>BA_110</t>
  </si>
  <si>
    <t>BA_130</t>
  </si>
  <si>
    <t>INTRODUCTION TO COMPUTERS AND APPLICATIONS</t>
  </si>
  <si>
    <t>BA_131</t>
  </si>
  <si>
    <t>INTRODUCTION TO INFORMATION MANAGEMENT</t>
  </si>
  <si>
    <t>BA_180</t>
  </si>
  <si>
    <t>BA_200</t>
  </si>
  <si>
    <t>PRINCIPLES OF FINANCIAL ACCOUNTING</t>
  </si>
  <si>
    <t>BA_201</t>
  </si>
  <si>
    <t>PRINCIPLES OF MANAGERIAL ACCOUNTING</t>
  </si>
  <si>
    <t>BA_220</t>
  </si>
  <si>
    <t>BA_230</t>
  </si>
  <si>
    <t>DATA PROCESSING AND DATA ADMINISTRATION WITH MAC APPLICATION</t>
  </si>
  <si>
    <t>BA_240</t>
  </si>
  <si>
    <t>BA_241</t>
  </si>
  <si>
    <t>BA_252</t>
  </si>
  <si>
    <t>BA_260</t>
  </si>
  <si>
    <t>BA_300</t>
  </si>
  <si>
    <t>BA_301</t>
  </si>
  <si>
    <t>BA_303</t>
  </si>
  <si>
    <t>GOVERNMENTAL ACCOUNTING FOR NON-ACCOUNTING MAJORS</t>
  </si>
  <si>
    <t>BA_304</t>
  </si>
  <si>
    <t>BA_305</t>
  </si>
  <si>
    <t>COST AND MANAGERIAL ACCOUNTING</t>
  </si>
  <si>
    <t>BA_307</t>
  </si>
  <si>
    <t>BA_310</t>
  </si>
  <si>
    <t>APPLIED STATISTICS FOR BUSINESS DECISION</t>
  </si>
  <si>
    <t>BA_311</t>
  </si>
  <si>
    <t>INTERMEDIATE MACRO-ECONOMIC THEORY</t>
  </si>
  <si>
    <t>BA_321</t>
  </si>
  <si>
    <t>MONEY AND BANKING</t>
  </si>
  <si>
    <t>BA_322</t>
  </si>
  <si>
    <t>BA_323</t>
  </si>
  <si>
    <t>CORPORATE FINANCE</t>
  </si>
  <si>
    <t>BA_330</t>
  </si>
  <si>
    <t>INFORMATION TECHNOLOGY AND NETWORKS FOR BUSINESS</t>
  </si>
  <si>
    <t>BA_333</t>
  </si>
  <si>
    <t>BA_335</t>
  </si>
  <si>
    <t>CYBERSECURITY AND CLOUD SERVICE</t>
  </si>
  <si>
    <t>BA_345</t>
  </si>
  <si>
    <t>MANAGING THE EMPLOYEE &amp; WORK ENVIRONMENT</t>
  </si>
  <si>
    <t>BA_347</t>
  </si>
  <si>
    <t>LEADERSHIP AND COLLABORATION IN ORGANIZATIONS AND SOCIETY</t>
  </si>
  <si>
    <t>BA_386</t>
  </si>
  <si>
    <t>LOGISTICS AND SUPPLY CHAIN MANAGEMENT</t>
  </si>
  <si>
    <t>BA_400</t>
  </si>
  <si>
    <t>BA_401</t>
  </si>
  <si>
    <t>BA_402</t>
  </si>
  <si>
    <t>BA_403</t>
  </si>
  <si>
    <t>BA_405</t>
  </si>
  <si>
    <t>BA_406</t>
  </si>
  <si>
    <t>BA_410</t>
  </si>
  <si>
    <t>BA_440</t>
  </si>
  <si>
    <t>BA_441</t>
  </si>
  <si>
    <t>OPERATIONS AND PROJECT MANAGEMENT</t>
  </si>
  <si>
    <t>BA_443</t>
  </si>
  <si>
    <t>COMPENSATION, BENEFITS AND PERFORMANCE EVALUATION</t>
  </si>
  <si>
    <t>BA_444</t>
  </si>
  <si>
    <t>STAFFING AND EMPLOYEE DEVELOPMENT</t>
  </si>
  <si>
    <t>BA_453</t>
  </si>
  <si>
    <t>TOURISM POLICY, PLANNING AND DEVELOPMENT</t>
  </si>
  <si>
    <t>BA_460</t>
  </si>
  <si>
    <t>INTERNATIONAL MARKETING</t>
  </si>
  <si>
    <t>BA_462</t>
  </si>
  <si>
    <t>MARKETING RESEARCH</t>
  </si>
  <si>
    <t>BA_480</t>
  </si>
  <si>
    <t>BA_481</t>
  </si>
  <si>
    <t>PRACTICAL APPLICATION IN SMALL BUSINESS MANAGEMENT</t>
  </si>
  <si>
    <t>BA_482A</t>
  </si>
  <si>
    <t>BUSINESS SERVICE LEARNING: SENIOR TEAM FIELD PROJECT</t>
  </si>
  <si>
    <t>BA_482B</t>
  </si>
  <si>
    <t>BUSINESS SERVICE LEARNING: BUSINESS/ RESEARCH INTERNSHIP</t>
  </si>
  <si>
    <t>BA_483</t>
  </si>
  <si>
    <t>BUSINESS PROFESSIONAL AND CAREER DEVELOPMENT</t>
  </si>
  <si>
    <t>CSM_100</t>
  </si>
  <si>
    <t>INTRODUCTION TO CYBERSECURITY MANAGEMENT</t>
  </si>
  <si>
    <t>LW_101</t>
  </si>
  <si>
    <t>INTRODUCTION TO CRIMINAL JUSTICE</t>
  </si>
  <si>
    <t>LW_106</t>
  </si>
  <si>
    <t>LW_202</t>
  </si>
  <si>
    <t>LW_306</t>
  </si>
  <si>
    <t>LW_311</t>
  </si>
  <si>
    <t>CORRECTIONAL SECURITY MANAGEMENT AND ADMINISTRATION</t>
  </si>
  <si>
    <t>LW_402</t>
  </si>
  <si>
    <t>LW_404</t>
  </si>
  <si>
    <t>ADMINISTRATION AND MANAGEMENT OF CRIMINAL JUSTICE ORGANIZATIONS</t>
  </si>
  <si>
    <t>LW_409A</t>
  </si>
  <si>
    <t>CURRENT NATIONAL TOPICS</t>
  </si>
  <si>
    <t>LW_442</t>
  </si>
  <si>
    <t>LAW AND ETHICS IN BUSINESS AND GOVERNMENT</t>
  </si>
  <si>
    <t>LW_443</t>
  </si>
  <si>
    <t>LW_480</t>
  </si>
  <si>
    <t>LW_490</t>
  </si>
  <si>
    <t>SPECIAL PROJECT IN LEGAL STUDIES</t>
  </si>
  <si>
    <t>LW_498</t>
  </si>
  <si>
    <t>PA_201</t>
  </si>
  <si>
    <t>PUBLIC ADMINISTRATION IN GUAM AND IN THE WESTERN PACIFIC</t>
  </si>
  <si>
    <t>PA_205</t>
  </si>
  <si>
    <t>DATA AND STATISTICS FOR BUSINESS AND GOVERNMENT</t>
  </si>
  <si>
    <t>PA_206</t>
  </si>
  <si>
    <t>PUBLIC HEALTH AND DISEASE MANAGEMENT</t>
  </si>
  <si>
    <t>PA_207</t>
  </si>
  <si>
    <t>ADMINISTRATION OF HEALTH CARE SERVICES</t>
  </si>
  <si>
    <t>PA_210</t>
  </si>
  <si>
    <t>PUBLIC ADMINISTRATION AND MANAGEMENT: CONCEPTS AND APPLICATIONS</t>
  </si>
  <si>
    <t>PA_215</t>
  </si>
  <si>
    <t>SUPERVISION IN GOVERNMENT ORGANIZATIONS</t>
  </si>
  <si>
    <t>PA_233</t>
  </si>
  <si>
    <t>IMPACT OF GOVERNMENT REGULATORY ADMINISTRATION ON BUSINESS</t>
  </si>
  <si>
    <t>PA_303</t>
  </si>
  <si>
    <t>PA_304</t>
  </si>
  <si>
    <t>PA_305</t>
  </si>
  <si>
    <t>DATA ANALYSIS IN PUBLIC ADMINISTRATION</t>
  </si>
  <si>
    <t>PA_306</t>
  </si>
  <si>
    <t>HEALTH CARE PLANNING AND EVALUATION</t>
  </si>
  <si>
    <t>PA_307</t>
  </si>
  <si>
    <t>PA_347</t>
  </si>
  <si>
    <t>PA_401</t>
  </si>
  <si>
    <t>PA_403</t>
  </si>
  <si>
    <t>PUBLIC PERSONNEL ADMINISTRATION</t>
  </si>
  <si>
    <t>PA_405</t>
  </si>
  <si>
    <t>LEADERSHIP ETHICS IN THE PROFESSIONS</t>
  </si>
  <si>
    <t>PA_420</t>
  </si>
  <si>
    <t>PA_480</t>
  </si>
  <si>
    <t>PUBLIC ADMINISTRATION CAPSTONE</t>
  </si>
  <si>
    <t>PA_490</t>
  </si>
  <si>
    <t>SPECIAL PROJECT IN PUBLIC ADMINISTRATION</t>
  </si>
  <si>
    <t>BA_620</t>
  </si>
  <si>
    <t>FINANCIAL MANAGEMENT</t>
  </si>
  <si>
    <t>BA_621</t>
  </si>
  <si>
    <t>MANAGERIAL ACCOUNTING</t>
  </si>
  <si>
    <t>BA_622</t>
  </si>
  <si>
    <t>STATISTICAL ANALYSIS AND ECONOMETRIC TECHNIQUES</t>
  </si>
  <si>
    <t>BA_632</t>
  </si>
  <si>
    <t>PA_501</t>
  </si>
  <si>
    <t>PA_510</t>
  </si>
  <si>
    <t>PA_525</t>
  </si>
  <si>
    <t>PUBLIC BUDGETING</t>
  </si>
  <si>
    <t>PA_530</t>
  </si>
  <si>
    <t>PUBLIC PERSONNEL, DISCIPLINARY, AND PERFORMANCE MANAGEMENT</t>
  </si>
  <si>
    <t>PA_545C</t>
  </si>
  <si>
    <t>COMPARATIVE PUBLIC ADMINISTRATION</t>
  </si>
  <si>
    <t>PA_590</t>
  </si>
  <si>
    <t>SPECIAL PROJECTS IN PUBLIC ADMINISTRATI ON</t>
  </si>
  <si>
    <t>PA_598</t>
  </si>
  <si>
    <t>INTERNSHIP: PUBLIC ADMINISTRATION</t>
  </si>
  <si>
    <t>PA_692</t>
  </si>
  <si>
    <t>CEE_100</t>
  </si>
  <si>
    <t>CEE_101</t>
  </si>
  <si>
    <t>CEE_201</t>
  </si>
  <si>
    <t>CEE_202</t>
  </si>
  <si>
    <t>CEE_204</t>
  </si>
  <si>
    <t>MECHANICS OF FLUIDS</t>
  </si>
  <si>
    <t>CEE_301</t>
  </si>
  <si>
    <t>STRUCTURAL ANALYSIS</t>
  </si>
  <si>
    <t>CEE_303</t>
  </si>
  <si>
    <t>CEE_303L</t>
  </si>
  <si>
    <t>GEOTECHNICAL ENGINEERING LABORATORY</t>
  </si>
  <si>
    <t>CEE_304</t>
  </si>
  <si>
    <t>CEE_304L</t>
  </si>
  <si>
    <t>CIVIL ENGINEERING MATERIALS LABORATORY</t>
  </si>
  <si>
    <t>CEE_401</t>
  </si>
  <si>
    <t>STEEL STRUCTURES DESIGN</t>
  </si>
  <si>
    <t>CEE_402</t>
  </si>
  <si>
    <t>FOUNDATION ENGINEERING</t>
  </si>
  <si>
    <t>CEE_404</t>
  </si>
  <si>
    <t>CEE_405</t>
  </si>
  <si>
    <t>CIVIL ENGINEERING DESIGN II</t>
  </si>
  <si>
    <t>CEE_406</t>
  </si>
  <si>
    <t>INTRODUCTION TO CONSTRUCTION MANAGEMENT</t>
  </si>
  <si>
    <t>ED_110</t>
  </si>
  <si>
    <t>INTRODUCTION TO TEACHING</t>
  </si>
  <si>
    <t>ED_201</t>
  </si>
  <si>
    <t>HUMAN GROWTH AND DEVELOPMENT</t>
  </si>
  <si>
    <t>ED_265</t>
  </si>
  <si>
    <t>CULTURE AND EDUCATION IN GUAM</t>
  </si>
  <si>
    <t>ED_271</t>
  </si>
  <si>
    <t>TECHNOLOGY APPLICATIONS FOR EDUCATORS</t>
  </si>
  <si>
    <t>ED_300</t>
  </si>
  <si>
    <t>ED_321</t>
  </si>
  <si>
    <t>LANGUAGE ARTS METHODS: SECONDARY</t>
  </si>
  <si>
    <t>ED_322</t>
  </si>
  <si>
    <t>SOCIAL SCIENCES METHODS: SECONDARY</t>
  </si>
  <si>
    <t>ED_323</t>
  </si>
  <si>
    <t>MATHEMATICS METHODS: SECONDARY</t>
  </si>
  <si>
    <t>ED_334</t>
  </si>
  <si>
    <t>SOLVING DISCIPLINE PROBLEMS: STRATEGIES FOR CLASSROOM TEACHERS</t>
  </si>
  <si>
    <t>ED_350</t>
  </si>
  <si>
    <t>EFFECTIVE TEACHING STRATEGIES FOR THE ELEMENTARY MULTICULTURAL CLASSROOM</t>
  </si>
  <si>
    <t>ED_353</t>
  </si>
  <si>
    <t>SOCIAL STUDIES METHODS: ELEMENTARY</t>
  </si>
  <si>
    <t>ED_354</t>
  </si>
  <si>
    <t>SCIENCE METHODS: ELEMENTARY</t>
  </si>
  <si>
    <t>ED_356</t>
  </si>
  <si>
    <t>MATHEMATICS METHODS: ELEMENTARY</t>
  </si>
  <si>
    <t>ED_392</t>
  </si>
  <si>
    <t>ED_446</t>
  </si>
  <si>
    <t>INCLUDING CHILDREN WITH DISABILITIES IN THE REGULAR CLASSROOM</t>
  </si>
  <si>
    <t>ED_462</t>
  </si>
  <si>
    <t>CONTENT AREA LITERACY</t>
  </si>
  <si>
    <t>ED_489</t>
  </si>
  <si>
    <t>ED_492</t>
  </si>
  <si>
    <t>PRACTICUM IN STUDENT TEACHING</t>
  </si>
  <si>
    <t>ED_498</t>
  </si>
  <si>
    <t>INTERNSHIP IN TEACHING:</t>
  </si>
  <si>
    <t>PE_352</t>
  </si>
  <si>
    <t>METHODS OF TEACHING ELEMENTARY PHYSICAL EDUCATION</t>
  </si>
  <si>
    <t>ED_601</t>
  </si>
  <si>
    <t>INTRODUCTION TO RESEARCH METHODS</t>
  </si>
  <si>
    <t>ED_603</t>
  </si>
  <si>
    <t>ED_605</t>
  </si>
  <si>
    <t>FOUNDATIONS OF EDUCATION</t>
  </si>
  <si>
    <t>ED_610</t>
  </si>
  <si>
    <t>SCHOOL LEADERSHIP AND ADMINISTRATION</t>
  </si>
  <si>
    <t>ED_613</t>
  </si>
  <si>
    <t>SCHOOL FINANCIAL MANAGEMENT</t>
  </si>
  <si>
    <t>ED_617</t>
  </si>
  <si>
    <t>ACTION RESEARCH IN SECONDARY SETTINGS</t>
  </si>
  <si>
    <t>ED_619</t>
  </si>
  <si>
    <t>INTRODUCTION TO COUNSELING</t>
  </si>
  <si>
    <t>ED_620</t>
  </si>
  <si>
    <t>THE COUNSELING PROCESS: THEORY</t>
  </si>
  <si>
    <t>ED_621</t>
  </si>
  <si>
    <t>THE COUNSELING PROCESS: INDIVIDUAL PRACTICE</t>
  </si>
  <si>
    <t>ED_624</t>
  </si>
  <si>
    <t>INDIVIDUAL AND GROUP ASSESSMENT</t>
  </si>
  <si>
    <t>ED_643</t>
  </si>
  <si>
    <t>PRACTICUM: LITERACY ASSESSMENT</t>
  </si>
  <si>
    <t>ED_645</t>
  </si>
  <si>
    <t>ADVANCED METHODS IN PK-12 SCHOOL LITERACY</t>
  </si>
  <si>
    <t>ED_649</t>
  </si>
  <si>
    <t>CAPSTONE SEMINAR IN LANGUAGE AND LITERACY</t>
  </si>
  <si>
    <t>ED_671</t>
  </si>
  <si>
    <t>ISSUES AND TRENDS IN EDUCATION</t>
  </si>
  <si>
    <t>ED_677</t>
  </si>
  <si>
    <t>ETHICAL AND LEGAL ISSUES IN COUNSELING</t>
  </si>
  <si>
    <t>ED_678</t>
  </si>
  <si>
    <t>ORGANIZATION AND ADMINISTRATION OF SCHOOL COUNSELING PROGRAMS</t>
  </si>
  <si>
    <t>ED_679</t>
  </si>
  <si>
    <t>INTRODUCTION TO COMMUNITY COUNSELING</t>
  </si>
  <si>
    <t>ED_683</t>
  </si>
  <si>
    <t>CLASSROOM MANAGEMENT</t>
  </si>
  <si>
    <t>ED_690</t>
  </si>
  <si>
    <t>ED_695</t>
  </si>
  <si>
    <t>ED_698</t>
  </si>
  <si>
    <t>INTERNSHIP:</t>
  </si>
  <si>
    <t>ED_699</t>
  </si>
  <si>
    <t>SPECIAL TOPICS</t>
  </si>
  <si>
    <t>HS_104</t>
  </si>
  <si>
    <t>HS_105</t>
  </si>
  <si>
    <t>HS_106</t>
  </si>
  <si>
    <t>HS_200</t>
  </si>
  <si>
    <t>HS_210</t>
  </si>
  <si>
    <t>HUMAN BIOLOGY AND BEHAVIOR</t>
  </si>
  <si>
    <t>HS_216</t>
  </si>
  <si>
    <t>INTRODUCTION TO PUBLIC HEALTH</t>
  </si>
  <si>
    <t>HS_322</t>
  </si>
  <si>
    <t>KINESIOLOGY</t>
  </si>
  <si>
    <t>HS_405</t>
  </si>
  <si>
    <t>HS_416</t>
  </si>
  <si>
    <t>RESEARCH IN NURSING AND HEALTH SCIENCES</t>
  </si>
  <si>
    <t>HS_491</t>
  </si>
  <si>
    <t>CURRENT TOPICS IN HEALTH SCIENCES</t>
  </si>
  <si>
    <t>HS_498</t>
  </si>
  <si>
    <t>NU_112</t>
  </si>
  <si>
    <t>NU_200B</t>
  </si>
  <si>
    <t>COMMUNICATION AND METAL HEALTH CONCEPTS</t>
  </si>
  <si>
    <t>NU_212</t>
  </si>
  <si>
    <t>EMPOWERMENT STRATEGIES FOR NURSING STUDENTS</t>
  </si>
  <si>
    <t>NU_214</t>
  </si>
  <si>
    <t>DOSAGE CALCULATION</t>
  </si>
  <si>
    <t>NU_302B</t>
  </si>
  <si>
    <t>ADULT HEALTH NURSING</t>
  </si>
  <si>
    <t>NU_303B</t>
  </si>
  <si>
    <t>ADULT HEALTH PRACTICUM I</t>
  </si>
  <si>
    <t>NU_310</t>
  </si>
  <si>
    <t>PATHOPHYSIOLOGY</t>
  </si>
  <si>
    <t>NU_344</t>
  </si>
  <si>
    <t>NU_403</t>
  </si>
  <si>
    <t>COMMUNITY HEALTH NURSING PRACTICUM</t>
  </si>
  <si>
    <t>NU_408</t>
  </si>
  <si>
    <t>PSYCHIATRIC MENTAL HEALTH NURSING</t>
  </si>
  <si>
    <t>NU_409</t>
  </si>
  <si>
    <t>PSYCHIATRIC NURSING PRACTICUM</t>
  </si>
  <si>
    <t>NU_412</t>
  </si>
  <si>
    <t>COMMUNITY HEALTH NURSING</t>
  </si>
  <si>
    <t>NU_416</t>
  </si>
  <si>
    <t>SW_110</t>
  </si>
  <si>
    <t>INTRODUCTION TO COMMUNITY SERVICES ON GUAM</t>
  </si>
  <si>
    <t>SW_201</t>
  </si>
  <si>
    <t>SOCIAL WELFARE AND DEVELOPMENT: GLOBAL CHALLENGES</t>
  </si>
  <si>
    <t>SW_330</t>
  </si>
  <si>
    <t>SW_332</t>
  </si>
  <si>
    <t>SW_344</t>
  </si>
  <si>
    <t>SW_345</t>
  </si>
  <si>
    <t>SOCIAL JUSTICE</t>
  </si>
  <si>
    <t>SW_350</t>
  </si>
  <si>
    <t>HUMAN BEHAVIOR AND THE SOCIAL ENVIRONMENT I</t>
  </si>
  <si>
    <t>SW_400</t>
  </si>
  <si>
    <t>SW_406</t>
  </si>
  <si>
    <t>SOCIAL POLICY</t>
  </si>
  <si>
    <t>SW_410</t>
  </si>
  <si>
    <t>SOCIAL WELFARE AND SOCIAL DEVELOPMENT IN MICRONESIA</t>
  </si>
  <si>
    <t>SW_485A</t>
  </si>
  <si>
    <t>ED_697</t>
  </si>
  <si>
    <t>Undergraduate Retention Rates (Fall-to-Fall) of Incoming Freshmen by Gender/Ethnicity</t>
  </si>
  <si>
    <t>Undergraduate Retention Rates (Fall-to-Fall) of Incoming Transfer Students by College/Program</t>
  </si>
  <si>
    <t>15a</t>
  </si>
  <si>
    <t>15b</t>
  </si>
  <si>
    <t>Retention Rates-First Time Freshmen</t>
  </si>
  <si>
    <t>Undergraduate Retention Rates (Fall-to-Fall) of Incoming Freshmen by College/Program</t>
  </si>
  <si>
    <t>16a</t>
  </si>
  <si>
    <t>16b</t>
  </si>
  <si>
    <t>Retention Rates-First Time Transfer Students</t>
  </si>
  <si>
    <t>Undergraduate Retention Rates (Fall-to-Fall) of Incoming Transfer Students by Gender/Ethnicity</t>
  </si>
  <si>
    <t>TAB#</t>
  </si>
  <si>
    <t>Student Enrollment by Full-Time/Part-Time Load and Program Level</t>
  </si>
  <si>
    <t>ENROLLMENT  ·  CREDIT HOURS  ·  FTE</t>
  </si>
  <si>
    <r>
      <rPr>
        <b/>
        <sz val="10"/>
        <rFont val="Calibri"/>
        <family val="2"/>
        <scheme val="minor"/>
      </rPr>
      <t xml:space="preserve">Non-Degree </t>
    </r>
    <r>
      <rPr>
        <sz val="10"/>
        <rFont val="Calibri"/>
        <family val="2"/>
        <scheme val="minor"/>
      </rPr>
      <t>Status (includes PostGrad)</t>
    </r>
  </si>
  <si>
    <r>
      <t xml:space="preserve">Actual </t>
    </r>
    <r>
      <rPr>
        <sz val="8"/>
        <rFont val="Calibri"/>
        <family val="2"/>
        <scheme val="minor"/>
      </rPr>
      <t>(corrected</t>
    </r>
    <r>
      <rPr>
        <sz val="10"/>
        <rFont val="Calibri"/>
        <family val="2"/>
        <scheme val="minor"/>
      </rPr>
      <t>)</t>
    </r>
  </si>
  <si>
    <r>
      <t>Student Enrollment by College/Academic Level/</t>
    </r>
    <r>
      <rPr>
        <sz val="10"/>
        <color rgb="FFFF0000"/>
        <rFont val="Calibri"/>
        <family val="2"/>
        <scheme val="minor"/>
      </rPr>
      <t>DOUBLE</t>
    </r>
    <r>
      <rPr>
        <sz val="10"/>
        <rFont val="Calibri"/>
        <family val="2"/>
        <scheme val="minor"/>
      </rPr>
      <t xml:space="preserve"> Major/Class Level</t>
    </r>
  </si>
  <si>
    <r>
      <t>Student Enrollment by College/Academic Level/</t>
    </r>
    <r>
      <rPr>
        <sz val="10"/>
        <color rgb="FFFF0000"/>
        <rFont val="Calibri"/>
        <family val="2"/>
        <scheme val="minor"/>
      </rPr>
      <t>DOUBLE</t>
    </r>
    <r>
      <rPr>
        <sz val="10"/>
        <rFont val="Calibri"/>
        <family val="2"/>
        <scheme val="minor"/>
      </rPr>
      <t xml:space="preserve"> Major/Ethnicity</t>
    </r>
  </si>
  <si>
    <t>Student And Course Enrollment Reports - 2022 Fanuchånan (Fall) Semester</t>
  </si>
  <si>
    <t>Fanuchånan 2022</t>
  </si>
  <si>
    <t>Finakpo' 2022</t>
  </si>
  <si>
    <t>Fañomnåkan 2022</t>
  </si>
  <si>
    <t>22/FA</t>
  </si>
  <si>
    <t>National Student Exchange</t>
  </si>
  <si>
    <t>Off-Island Program Studies</t>
  </si>
  <si>
    <t>COMM JOUR MASS</t>
  </si>
  <si>
    <t>DCMJ PURE</t>
  </si>
  <si>
    <t>SPED</t>
  </si>
  <si>
    <t>MLJP</t>
  </si>
  <si>
    <t>22FA</t>
  </si>
  <si>
    <t>Asmuyao Community School</t>
  </si>
  <si>
    <t>Belau Modekngei School</t>
  </si>
  <si>
    <t>Emmaus High School</t>
  </si>
  <si>
    <t>Kagman High School</t>
  </si>
  <si>
    <t>Mindszenty High School</t>
  </si>
  <si>
    <t>Mt Carmel High School, Saipan</t>
  </si>
  <si>
    <t>Providence International Christian Academy</t>
  </si>
  <si>
    <t>Saramen Chuuk Academy</t>
  </si>
  <si>
    <t>US - Nebraska High School</t>
  </si>
  <si>
    <t>US - California High School</t>
  </si>
  <si>
    <t>2022 Fanuchånan</t>
  </si>
  <si>
    <t>2022 Fanuchånan
Males</t>
  </si>
  <si>
    <t>2022 Fanuchånan
Females</t>
  </si>
  <si>
    <t>Special</t>
  </si>
  <si>
    <t>Calvary Christian Academy</t>
  </si>
  <si>
    <t>CI</t>
  </si>
  <si>
    <t>LANGUAGE:CHINESE</t>
  </si>
  <si>
    <t>SN</t>
  </si>
  <si>
    <t>LANGUAGE:SPANISH</t>
  </si>
  <si>
    <t>ANTHROPOLOGY TOTAL:</t>
  </si>
  <si>
    <t>ART TOTAL:</t>
  </si>
  <si>
    <t>COMMUNICATION TOTAL:</t>
  </si>
  <si>
    <t>CRITICAL THINKING TOTAL:</t>
  </si>
  <si>
    <t>ENGLISH/LITERATURE TOTAL:</t>
  </si>
  <si>
    <t>FINE ARTS TOTAL:</t>
  </si>
  <si>
    <t>GEOGRAPHY TOTAL:</t>
  </si>
  <si>
    <t>HISTORY TOTAL:</t>
  </si>
  <si>
    <t>LANGUAGE: AMERICAN SIGN LANGUAGE TOTAL:</t>
  </si>
  <si>
    <t>LANGUAGE:CHAMORRO TOTAL:</t>
  </si>
  <si>
    <t>LANGUAGE:JAPANESE TOTAL:</t>
  </si>
  <si>
    <t>LANGUAGE:KOREAN TOTAL:</t>
  </si>
  <si>
    <t>LANGUAGE:TAGALOG TOTAL:</t>
  </si>
  <si>
    <t>LINGUISTICS TOTAL:</t>
  </si>
  <si>
    <t>MUSIC TOTAL:</t>
  </si>
  <si>
    <t>PHILOSOPHY TOTAL:</t>
  </si>
  <si>
    <t>POLITICAL SCIENCE TOTAL:</t>
  </si>
  <si>
    <t>PSYCHOLOGY TOTAL:</t>
  </si>
  <si>
    <t>SOCIOLOGY TOTAL:</t>
  </si>
  <si>
    <t>THEATRE TOTAL:</t>
  </si>
  <si>
    <t>WOMEN &amp; GENDER STUDIES TOTAL:</t>
  </si>
  <si>
    <t>MICRONESIAN STUDIES TOTAL:</t>
  </si>
  <si>
    <t>AGRICULTURE &amp; LIFE SCIENCES TOTAL:</t>
  </si>
  <si>
    <t>BIOLOGY TOTAL:</t>
  </si>
  <si>
    <t>CHEMISTRY TOTAL:</t>
  </si>
  <si>
    <t>COMPUTER SCIENCE TOTAL:</t>
  </si>
  <si>
    <t>MATHEMATICS TOTAL:</t>
  </si>
  <si>
    <t>Military Science &amp; Leadership TOTAL:</t>
  </si>
  <si>
    <t>PHYSICS TOTAL:</t>
  </si>
  <si>
    <t>AN_498</t>
  </si>
  <si>
    <t>INTERNSHIP IN ANTHROPOLOGY</t>
  </si>
  <si>
    <t>AR_211</t>
  </si>
  <si>
    <t>BASIC PHOTOGRAPHY</t>
  </si>
  <si>
    <t>AR_326</t>
  </si>
  <si>
    <t>ANALYSIS OF SPECIMENS AND DOCUMENTATION</t>
  </si>
  <si>
    <t>AR_405</t>
  </si>
  <si>
    <t>ADVANCED WATERCOLOR PAINTING II</t>
  </si>
  <si>
    <t>AR_408</t>
  </si>
  <si>
    <t>ADVANCED SCULPTURE I</t>
  </si>
  <si>
    <t>AR_410</t>
  </si>
  <si>
    <t>ADVANCED PRINTMAKING I</t>
  </si>
  <si>
    <t>AR_490</t>
  </si>
  <si>
    <t>CO_240</t>
  </si>
  <si>
    <t>PHOTO JOURNALISM</t>
  </si>
  <si>
    <t>CO_340</t>
  </si>
  <si>
    <t>PERSUASION</t>
  </si>
  <si>
    <t>CO_436</t>
  </si>
  <si>
    <t>DIGITAL COMMUNICATIONS TECHNOLOGIES</t>
  </si>
  <si>
    <t>EN_470</t>
  </si>
  <si>
    <t>WORLD LITERATURES IN TRANSLATION</t>
  </si>
  <si>
    <t>HI_409</t>
  </si>
  <si>
    <t>DIPLOMATIC HISTORY OF THE UNITED STATES</t>
  </si>
  <si>
    <t>CM_232</t>
  </si>
  <si>
    <t>MICRONESIAN SEAFARING SYSTEM</t>
  </si>
  <si>
    <t>CM_301</t>
  </si>
  <si>
    <t>ADVANCED CHAMORU I - READING</t>
  </si>
  <si>
    <t>MU_102</t>
  </si>
  <si>
    <t>WORLD MUSIC</t>
  </si>
  <si>
    <t>MU_260</t>
  </si>
  <si>
    <t>MUSIC THEORY III</t>
  </si>
  <si>
    <t>MU_310</t>
  </si>
  <si>
    <t>MUSIC HISTORY I</t>
  </si>
  <si>
    <t>PI_301</t>
  </si>
  <si>
    <t>HISTORY OF WESTERN PHILOSOPHY I</t>
  </si>
  <si>
    <t>PS_304</t>
  </si>
  <si>
    <t>POLITICS OF ASIA</t>
  </si>
  <si>
    <t>PS_420</t>
  </si>
  <si>
    <t>INTERNATIONAL LAW</t>
  </si>
  <si>
    <t>PS_440</t>
  </si>
  <si>
    <t>INDIGENOUS POLITICS</t>
  </si>
  <si>
    <t>PS_482</t>
  </si>
  <si>
    <t>SPECIAL TOPICS IN POLITICAL SCIENCE</t>
  </si>
  <si>
    <t>PS_492</t>
  </si>
  <si>
    <t>CAPSTONE IN POLITICAL SCIENCE</t>
  </si>
  <si>
    <t>PY_491</t>
  </si>
  <si>
    <t>PSYCHOLOGICAL RESEARCH SEMINAR</t>
  </si>
  <si>
    <t>SO_445</t>
  </si>
  <si>
    <t>INEQUALITY AND IDENTITY</t>
  </si>
  <si>
    <t>SO_480</t>
  </si>
  <si>
    <t>SO_498</t>
  </si>
  <si>
    <t>TH_105</t>
  </si>
  <si>
    <t>STATECRAFT</t>
  </si>
  <si>
    <t>TH_425</t>
  </si>
  <si>
    <t>THEATER HISTORY I</t>
  </si>
  <si>
    <t>WG_201</t>
  </si>
  <si>
    <t>GENDER AND SOCIETY</t>
  </si>
  <si>
    <t>WG_323</t>
  </si>
  <si>
    <t>EN_570</t>
  </si>
  <si>
    <t>LITERATURES IN TRANSLATION</t>
  </si>
  <si>
    <t>EN_611</t>
  </si>
  <si>
    <t>SEMINAR: RHETORIC AND COMPOSITION</t>
  </si>
  <si>
    <t>EN_699</t>
  </si>
  <si>
    <t>LN_440G</t>
  </si>
  <si>
    <t>MI_506</t>
  </si>
  <si>
    <t>PHYSICAL GEOGRAPHY OF MICRONESIA</t>
  </si>
  <si>
    <t>MI_512</t>
  </si>
  <si>
    <t>GUAM/CHAMORRO STUDIES</t>
  </si>
  <si>
    <t>MI_599</t>
  </si>
  <si>
    <t>READINGS IN MICRO STUDIES</t>
  </si>
  <si>
    <t>MI_599B</t>
  </si>
  <si>
    <t>READINGS IN MICRONESIAN STUDIES</t>
  </si>
  <si>
    <t>PY_504</t>
  </si>
  <si>
    <t>TOPICS IN CLINICAL PSYCHOLOGY</t>
  </si>
  <si>
    <t>PY_511</t>
  </si>
  <si>
    <t>RESEARCH METHODS IN CLINICAL PSYCHOLOGY I: RESEARCH DESIGN</t>
  </si>
  <si>
    <t>PY_641</t>
  </si>
  <si>
    <t>CLINICAL INTERVENTION I: COGNITIVE-BEHAVIORAL THERAPY</t>
  </si>
  <si>
    <t>PY_692A</t>
  </si>
  <si>
    <t>GRADUATE PRACTICUM IN CLINICAL PSYCHOLOGY I</t>
  </si>
  <si>
    <t>PY_695A</t>
  </si>
  <si>
    <t>THESIS I</t>
  </si>
  <si>
    <t>AL_321</t>
  </si>
  <si>
    <t>HORTICULTURAL PLANT ID AND PROPAGATION</t>
  </si>
  <si>
    <t>AL_321L</t>
  </si>
  <si>
    <t>HORTICULTURAL PLANT ID AND PROPAGATION LAB</t>
  </si>
  <si>
    <t>AL_323</t>
  </si>
  <si>
    <t>PLANT PATHOLOGY</t>
  </si>
  <si>
    <t>AL_323L</t>
  </si>
  <si>
    <t>PLANT PATHOLOGY LAB</t>
  </si>
  <si>
    <t>AL_330</t>
  </si>
  <si>
    <t>NUTRITION THROUGHOUT THE LIFESPAN</t>
  </si>
  <si>
    <t>AL_460</t>
  </si>
  <si>
    <t>ADVANCED HUMAN NUTRITION</t>
  </si>
  <si>
    <t>AL_498</t>
  </si>
  <si>
    <t>BI_302</t>
  </si>
  <si>
    <t>PLANT BIOLOGY</t>
  </si>
  <si>
    <t>BI_302L</t>
  </si>
  <si>
    <t>PLANT BIOLOGY LABORATORY</t>
  </si>
  <si>
    <t>CH_450A</t>
  </si>
  <si>
    <t>PHYSICAL CHEMISTRY</t>
  </si>
  <si>
    <t>CH_491</t>
  </si>
  <si>
    <t>CHEMISTRY SEMINAR</t>
  </si>
  <si>
    <t>CS_280</t>
  </si>
  <si>
    <t>PROGRAMMING PRACTICUM</t>
  </si>
  <si>
    <t>CS_371</t>
  </si>
  <si>
    <t>ETHICS AND PROFESSIONALISM</t>
  </si>
  <si>
    <t>MA_375</t>
  </si>
  <si>
    <t>NUMERICAL METHODS AND SOFTWARE</t>
  </si>
  <si>
    <t>MA_472</t>
  </si>
  <si>
    <t>FOURIER SERIES AND BOUNDARY VALUE PROBLEMS</t>
  </si>
  <si>
    <t>AL_460G</t>
  </si>
  <si>
    <t>AL_594</t>
  </si>
  <si>
    <t>CANCER HEALTH DISPARITIES</t>
  </si>
  <si>
    <t>BI_525</t>
  </si>
  <si>
    <t>EVOLUTIONARY BIOLOGY</t>
  </si>
  <si>
    <t>BI_546</t>
  </si>
  <si>
    <t>MARINE INVERTEBRATES</t>
  </si>
  <si>
    <t>EV_506</t>
  </si>
  <si>
    <t>EV_542</t>
  </si>
  <si>
    <t>HYDROLOGY</t>
  </si>
  <si>
    <t>EV_561</t>
  </si>
  <si>
    <t>URBAN LANDSCAPE MANAGEMENT</t>
  </si>
  <si>
    <t>BA_342A</t>
  </si>
  <si>
    <t>ENTREPRENEURSHIP AND INNOVATION Concepts</t>
  </si>
  <si>
    <t>BA_461</t>
  </si>
  <si>
    <t>MARKETING CHANNEL MANAGEMENT</t>
  </si>
  <si>
    <t>CSM_300</t>
  </si>
  <si>
    <t>CYBERSECURITY MANAGEMENT TOOLS AND TECHNIQUES</t>
  </si>
  <si>
    <t>PA_545E</t>
  </si>
  <si>
    <t>PUBLIC CONTRACTING AND PROCUREMENT POLICIES AND PRACTICES</t>
  </si>
  <si>
    <t>PA_570D</t>
  </si>
  <si>
    <t>SPECIAL TOPICS IN PUBLIC PERSONNEL ADMINISTRATION - ORGANIZATIONS</t>
  </si>
  <si>
    <t>PA_695</t>
  </si>
  <si>
    <t>CEE_203</t>
  </si>
  <si>
    <t>MECHANICS OF MATERIALS</t>
  </si>
  <si>
    <t>ED_385C</t>
  </si>
  <si>
    <t>STRUCTURE OF THE LANGUAGE: CHAMORU ORTHOGRAPHY</t>
  </si>
  <si>
    <t>PE_220</t>
  </si>
  <si>
    <t>INDOOR TEAM SPORTS</t>
  </si>
  <si>
    <t>PE_305</t>
  </si>
  <si>
    <t>HISTORICAL AND PHILOSOPHICAL FOUNDATIONS OF PHYSICAL EDUCATION</t>
  </si>
  <si>
    <t>ED_616J</t>
  </si>
  <si>
    <t>SECONDARY TEACHING METHODS - INSTRUCTIONAL TECHNOLOGY</t>
  </si>
  <si>
    <t>ED_691</t>
  </si>
  <si>
    <t>OVERVIEW SEMINAR:</t>
  </si>
  <si>
    <t>ED_692</t>
  </si>
  <si>
    <t>PRACTICUM:</t>
  </si>
  <si>
    <t>Generalist Social Work Practice Methods AND OVERVIEW</t>
  </si>
  <si>
    <t>GENERALIST SOCIAL WORK PRACTICE METHODS WITH ORGANIZATIONS AND COMMUNITIES</t>
  </si>
  <si>
    <t>SW_485B</t>
  </si>
  <si>
    <t>HS_405G</t>
  </si>
  <si>
    <t>BAA_494A</t>
  </si>
  <si>
    <t>SEMINAR IN ADVANCED ACCOUNTING</t>
  </si>
  <si>
    <t>BAA_494B</t>
  </si>
  <si>
    <t>SEMINAR IN GOVERNMENT ACCOUNTING</t>
  </si>
  <si>
    <t>BAA_494C</t>
  </si>
  <si>
    <t>SEMINAR IN ACCOUNTING SYSTEMS</t>
  </si>
  <si>
    <t>BAA_494D</t>
  </si>
  <si>
    <t>SEMINAR IN AUDITING I</t>
  </si>
  <si>
    <t>BAA_494F</t>
  </si>
  <si>
    <t>SEMINAR IN ETHICS FOR THE ACCOUNTANT</t>
  </si>
  <si>
    <t>BAA_494I</t>
  </si>
  <si>
    <t>SEMINAR IN BUSINESS LAW I GOVERNMENT</t>
  </si>
  <si>
    <t>CI_101</t>
  </si>
  <si>
    <t>ELEMENTARY CHINESE (MANDARIN) I</t>
  </si>
  <si>
    <t>LANGUAGE:SPANISH TOTAL:</t>
  </si>
  <si>
    <t>LANGUAGE:CHINESE TOTAL:</t>
  </si>
  <si>
    <t>SN_101</t>
  </si>
  <si>
    <t>ELEMENTARY SPANISH I</t>
  </si>
  <si>
    <t># Continued to 2022  Fanuchånan</t>
  </si>
  <si>
    <t>% Continued to 2022   Fanuchånan</t>
  </si>
  <si>
    <t># Continued to 2022 Fanuchånan</t>
  </si>
  <si>
    <t>% Continued to 2022 Fanuchånan</t>
  </si>
  <si>
    <t>Business Administration (UG)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</si>
</sst>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%"/>
    <numFmt numFmtId="165" formatCode="0.0"/>
    <numFmt numFmtId="166" formatCode="#,##0.0%"/>
    <numFmt numFmtId="167" formatCode="#,##0;\-#,##0;0"/>
    <numFmt numFmtId="168" formatCode="#,##0.00%;\-#,##0.00%;0.00\%"/>
    <numFmt numFmtId="169" formatCode="#,##0.00%"/>
    <numFmt numFmtId="170" formatCode="0;\(0\)"/>
    <numFmt numFmtId="171" formatCode="#,##0.#%"/>
    <numFmt numFmtId="172" formatCode="#,##0%"/>
    <numFmt numFmtId="173" formatCode="#,##0.###%"/>
    <numFmt numFmtId="174" formatCode="#,##0.##%"/>
  </numFmts>
  <fonts count="74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2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sz val="14"/>
      <color theme="6" tint="-0.499984740745262"/>
      <name val="Verdana"/>
      <family val="2"/>
    </font>
    <font>
      <sz val="6"/>
      <color indexed="8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6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  <font>
      <i/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4"/>
      <color theme="6" tint="-0.499984740745262"/>
      <name val="Calibri"/>
      <family val="2"/>
      <scheme val="minor"/>
    </font>
    <font>
      <i/>
      <sz val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theme="5" tint="-0.249977111117893"/>
      <name val="Verdana"/>
      <family val="2"/>
    </font>
    <font>
      <sz val="10"/>
      <color theme="5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Calibri"/>
      <family val="2"/>
      <scheme val="minor"/>
    </font>
    <font>
      <u/>
      <sz val="10"/>
      <color rgb="FF0000FF"/>
      <name val="Verdana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14"/>
      <color theme="6" tint="-0.499984740745262"/>
      <name val="Trebuchet MS"/>
      <family val="2"/>
    </font>
    <font>
      <sz val="12"/>
      <name val="Trebuchet MS"/>
      <family val="2"/>
    </font>
    <font>
      <i/>
      <sz val="10"/>
      <name val="Trebuchet MS"/>
      <family val="2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u/>
      <sz val="8"/>
      <color indexed="12"/>
      <name val="Calibri"/>
      <family val="2"/>
      <scheme val="minor"/>
    </font>
    <font>
      <sz val="9.5"/>
      <name val="Calibri"/>
      <family val="2"/>
      <scheme val="minor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0"/>
      <color indexed="8"/>
      <name val="Calibri"/>
      <family val="2"/>
    </font>
    <font>
      <sz val="8"/>
      <name val="Arial"/>
      <family val="2"/>
    </font>
    <font>
      <sz val="10"/>
      <color rgb="FF0000FF"/>
      <name val="Calibri"/>
      <family val="2"/>
      <scheme val="minor"/>
    </font>
    <font>
      <sz val="7"/>
      <color indexed="8"/>
      <name val="Calibri"/>
      <family val="2"/>
      <scheme val="minor"/>
    </font>
    <font>
      <sz val="14"/>
      <name val="Calibri"/>
      <family val="2"/>
      <scheme val="minor"/>
    </font>
    <font>
      <sz val="7.5"/>
      <name val="Calibri"/>
      <family val="2"/>
      <scheme val="minor"/>
    </font>
    <font>
      <sz val="10"/>
      <color indexed="48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rgb="FF00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8"/>
      </patternFill>
    </fill>
    <fill>
      <patternFill patternType="solid">
        <fgColor rgb="FFF8F6AC"/>
        <bgColor indexed="64"/>
      </patternFill>
    </fill>
    <fill>
      <patternFill patternType="solid">
        <fgColor theme="6" tint="0.79998168889431442"/>
        <bgColor indexed="9"/>
      </patternFill>
    </fill>
    <fill>
      <patternFill patternType="solid">
        <fgColor indexed="9"/>
        <bgColor indexed="9"/>
      </patternFill>
    </fill>
    <fill>
      <patternFill patternType="mediumGray"/>
    </fill>
    <fill>
      <patternFill patternType="lightDown"/>
    </fill>
    <fill>
      <patternFill patternType="solid">
        <fgColor theme="6" tint="0.7999816888943144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9F9A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FFFF99"/>
        <bgColor indexed="64"/>
      </patternFill>
    </fill>
    <fill>
      <patternFill patternType="solid">
        <fgColor rgb="FFFFFFCE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6" tint="0.59999389629810485"/>
        <bgColor indexed="9"/>
      </patternFill>
    </fill>
    <fill>
      <patternFill patternType="solid">
        <fgColor rgb="FFFFC0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7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21" fillId="0" borderId="0"/>
    <xf numFmtId="0" fontId="38" fillId="0" borderId="0"/>
    <xf numFmtId="43" fontId="40" fillId="0" borderId="0" applyFont="0" applyFill="0" applyBorder="0" applyAlignment="0" applyProtection="0"/>
    <xf numFmtId="0" fontId="48" fillId="0" borderId="0"/>
    <xf numFmtId="0" fontId="47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8" fillId="0" borderId="0"/>
    <xf numFmtId="0" fontId="1" fillId="0" borderId="0"/>
    <xf numFmtId="0" fontId="59" fillId="0" borderId="0"/>
    <xf numFmtId="0" fontId="38" fillId="0" borderId="0"/>
  </cellStyleXfs>
  <cellXfs count="759">
    <xf numFmtId="0" fontId="0" fillId="0" borderId="0" xfId="0"/>
    <xf numFmtId="164" fontId="0" fillId="0" borderId="0" xfId="0" applyNumberFormat="1"/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2" fillId="0" borderId="0" xfId="1" applyFont="1" applyBorder="1" applyAlignment="1" applyProtection="1"/>
    <xf numFmtId="0" fontId="8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7" fillId="0" borderId="0" xfId="9" applyFont="1" applyAlignment="1">
      <alignment horizontal="left" wrapText="1"/>
    </xf>
    <xf numFmtId="0" fontId="13" fillId="0" borderId="0" xfId="0" applyFont="1"/>
    <xf numFmtId="0" fontId="11" fillId="0" borderId="0" xfId="0" applyFont="1" applyAlignment="1">
      <alignment horizontal="left" indent="2"/>
    </xf>
    <xf numFmtId="0" fontId="10" fillId="0" borderId="0" xfId="0" applyFont="1" applyAlignment="1">
      <alignment horizontal="left" indent="2"/>
    </xf>
    <xf numFmtId="0" fontId="14" fillId="0" borderId="0" xfId="1" applyFont="1" applyBorder="1" applyAlignment="1" applyProtection="1"/>
    <xf numFmtId="0" fontId="15" fillId="0" borderId="0" xfId="0" applyFont="1" applyAlignment="1">
      <alignment horizontal="left" indent="2"/>
    </xf>
    <xf numFmtId="3" fontId="0" fillId="0" borderId="0" xfId="0" applyNumberFormat="1" applyAlignment="1">
      <alignment wrapText="1"/>
    </xf>
    <xf numFmtId="0" fontId="19" fillId="13" borderId="0" xfId="0" applyFont="1" applyFill="1" applyAlignment="1">
      <alignment vertical="center"/>
    </xf>
    <xf numFmtId="0" fontId="1" fillId="0" borderId="0" xfId="12"/>
    <xf numFmtId="0" fontId="16" fillId="13" borderId="0" xfId="12" applyFont="1" applyFill="1" applyAlignment="1">
      <alignment vertical="center"/>
    </xf>
    <xf numFmtId="0" fontId="17" fillId="0" borderId="0" xfId="0" applyFont="1" applyAlignment="1">
      <alignment horizontal="left" indent="2"/>
    </xf>
    <xf numFmtId="0" fontId="22" fillId="0" borderId="0" xfId="0" applyFont="1" applyAlignment="1">
      <alignment horizontal="left" indent="2"/>
    </xf>
    <xf numFmtId="0" fontId="24" fillId="7" borderId="15" xfId="9" applyFont="1" applyFill="1" applyBorder="1" applyAlignment="1">
      <alignment horizontal="center"/>
    </xf>
    <xf numFmtId="0" fontId="8" fillId="0" borderId="0" xfId="12" applyFont="1"/>
    <xf numFmtId="0" fontId="10" fillId="0" borderId="0" xfId="12" applyFont="1"/>
    <xf numFmtId="0" fontId="8" fillId="0" borderId="0" xfId="12" applyFont="1" applyAlignment="1">
      <alignment horizontal="center" wrapText="1"/>
    </xf>
    <xf numFmtId="0" fontId="17" fillId="6" borderId="15" xfId="0" applyFont="1" applyFill="1" applyBorder="1" applyAlignment="1">
      <alignment horizontal="center" vertical="center" textRotation="90"/>
    </xf>
    <xf numFmtId="0" fontId="23" fillId="0" borderId="0" xfId="0" applyFont="1"/>
    <xf numFmtId="0" fontId="22" fillId="0" borderId="0" xfId="0" applyFont="1"/>
    <xf numFmtId="0" fontId="25" fillId="0" borderId="0" xfId="0" applyFont="1"/>
    <xf numFmtId="0" fontId="17" fillId="0" borderId="0" xfId="0" applyFo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/>
    </xf>
    <xf numFmtId="164" fontId="17" fillId="0" borderId="0" xfId="11" applyNumberFormat="1" applyFont="1" applyBorder="1"/>
    <xf numFmtId="0" fontId="25" fillId="0" borderId="0" xfId="12" applyFont="1" applyAlignment="1">
      <alignment horizontal="left" indent="2"/>
    </xf>
    <xf numFmtId="0" fontId="23" fillId="0" borderId="0" xfId="12" applyFont="1" applyAlignment="1">
      <alignment horizontal="left" indent="2"/>
    </xf>
    <xf numFmtId="0" fontId="22" fillId="0" borderId="0" xfId="12" applyFont="1" applyAlignment="1">
      <alignment horizontal="left" indent="2"/>
    </xf>
    <xf numFmtId="0" fontId="24" fillId="7" borderId="0" xfId="7" applyFont="1" applyFill="1" applyAlignment="1">
      <alignment horizontal="center" wrapText="1"/>
    </xf>
    <xf numFmtId="0" fontId="24" fillId="7" borderId="0" xfId="7" applyFont="1" applyFill="1" applyAlignment="1">
      <alignment horizontal="center"/>
    </xf>
    <xf numFmtId="0" fontId="24" fillId="7" borderId="0" xfId="7" applyFont="1" applyFill="1" applyAlignment="1">
      <alignment horizontal="left"/>
    </xf>
    <xf numFmtId="0" fontId="24" fillId="7" borderId="0" xfId="7" applyFont="1" applyFill="1" applyAlignment="1">
      <alignment horizontal="right" wrapText="1"/>
    </xf>
    <xf numFmtId="0" fontId="17" fillId="7" borderId="0" xfId="12" applyFont="1" applyFill="1" applyAlignment="1">
      <alignment horizontal="center" wrapText="1"/>
    </xf>
    <xf numFmtId="0" fontId="24" fillId="0" borderId="0" xfId="7" applyFont="1" applyAlignment="1">
      <alignment horizontal="center" wrapText="1"/>
    </xf>
    <xf numFmtId="0" fontId="24" fillId="0" borderId="0" xfId="7" applyFont="1" applyAlignment="1">
      <alignment horizontal="left" wrapText="1"/>
    </xf>
    <xf numFmtId="0" fontId="17" fillId="0" borderId="0" xfId="12" applyFont="1" applyAlignment="1">
      <alignment horizontal="right"/>
    </xf>
    <xf numFmtId="164" fontId="17" fillId="0" borderId="0" xfId="11" applyNumberFormat="1" applyFont="1" applyBorder="1" applyAlignment="1">
      <alignment horizontal="right"/>
    </xf>
    <xf numFmtId="0" fontId="17" fillId="0" borderId="0" xfId="12" applyFont="1"/>
    <xf numFmtId="0" fontId="24" fillId="4" borderId="0" xfId="7" applyFont="1" applyFill="1" applyAlignment="1">
      <alignment horizontal="left"/>
    </xf>
    <xf numFmtId="0" fontId="24" fillId="4" borderId="0" xfId="7" applyFont="1" applyFill="1" applyAlignment="1">
      <alignment horizontal="left" wrapText="1"/>
    </xf>
    <xf numFmtId="0" fontId="24" fillId="4" borderId="0" xfId="7" applyFont="1" applyFill="1" applyAlignment="1">
      <alignment horizontal="right" wrapText="1"/>
    </xf>
    <xf numFmtId="164" fontId="17" fillId="3" borderId="0" xfId="11" applyNumberFormat="1" applyFont="1" applyFill="1" applyBorder="1" applyAlignment="1">
      <alignment horizontal="right"/>
    </xf>
    <xf numFmtId="0" fontId="27" fillId="4" borderId="0" xfId="7" applyFont="1" applyFill="1" applyAlignment="1">
      <alignment horizontal="left"/>
    </xf>
    <xf numFmtId="9" fontId="27" fillId="4" borderId="0" xfId="11" applyFont="1" applyFill="1" applyBorder="1" applyAlignment="1">
      <alignment horizontal="right" wrapText="1"/>
    </xf>
    <xf numFmtId="0" fontId="28" fillId="0" borderId="0" xfId="7" applyFont="1" applyAlignment="1">
      <alignment horizontal="left"/>
    </xf>
    <xf numFmtId="0" fontId="28" fillId="0" borderId="0" xfId="7" applyFont="1" applyAlignment="1">
      <alignment horizontal="center" wrapText="1"/>
    </xf>
    <xf numFmtId="0" fontId="24" fillId="0" borderId="0" xfId="5" applyFont="1" applyAlignment="1">
      <alignment horizontal="center" wrapText="1"/>
    </xf>
    <xf numFmtId="0" fontId="24" fillId="0" borderId="0" xfId="5" applyFont="1" applyAlignment="1">
      <alignment horizontal="left" wrapText="1"/>
    </xf>
    <xf numFmtId="0" fontId="17" fillId="3" borderId="0" xfId="12" applyFont="1" applyFill="1"/>
    <xf numFmtId="0" fontId="17" fillId="3" borderId="0" xfId="12" applyFont="1" applyFill="1" applyAlignment="1">
      <alignment horizontal="right"/>
    </xf>
    <xf numFmtId="0" fontId="24" fillId="8" borderId="0" xfId="7" applyFont="1" applyFill="1" applyAlignment="1">
      <alignment horizontal="left"/>
    </xf>
    <xf numFmtId="0" fontId="17" fillId="7" borderId="0" xfId="12" applyFont="1" applyFill="1"/>
    <xf numFmtId="0" fontId="17" fillId="7" borderId="0" xfId="12" applyFont="1" applyFill="1" applyAlignment="1">
      <alignment horizontal="right"/>
    </xf>
    <xf numFmtId="164" fontId="17" fillId="7" borderId="0" xfId="11" applyNumberFormat="1" applyFont="1" applyFill="1" applyBorder="1" applyAlignment="1">
      <alignment horizontal="right"/>
    </xf>
    <xf numFmtId="0" fontId="26" fillId="7" borderId="0" xfId="12" applyFont="1" applyFill="1"/>
    <xf numFmtId="9" fontId="27" fillId="8" borderId="0" xfId="11" applyFont="1" applyFill="1" applyBorder="1" applyAlignment="1">
      <alignment horizontal="right" wrapText="1"/>
    </xf>
    <xf numFmtId="0" fontId="29" fillId="9" borderId="19" xfId="0" applyFont="1" applyFill="1" applyBorder="1"/>
    <xf numFmtId="0" fontId="29" fillId="9" borderId="19" xfId="0" applyFont="1" applyFill="1" applyBorder="1" applyAlignment="1">
      <alignment horizontal="right"/>
    </xf>
    <xf numFmtId="0" fontId="24" fillId="9" borderId="21" xfId="9" applyFont="1" applyFill="1" applyBorder="1" applyAlignment="1">
      <alignment horizontal="center"/>
    </xf>
    <xf numFmtId="0" fontId="24" fillId="9" borderId="15" xfId="9" applyFont="1" applyFill="1" applyBorder="1" applyAlignment="1">
      <alignment horizontal="center"/>
    </xf>
    <xf numFmtId="0" fontId="24" fillId="9" borderId="19" xfId="9" applyFont="1" applyFill="1" applyBorder="1" applyAlignment="1">
      <alignment horizontal="center" wrapText="1"/>
    </xf>
    <xf numFmtId="0" fontId="17" fillId="7" borderId="15" xfId="0" applyFont="1" applyFill="1" applyBorder="1" applyAlignment="1">
      <alignment horizontal="center"/>
    </xf>
    <xf numFmtId="0" fontId="17" fillId="7" borderId="15" xfId="0" applyFont="1" applyFill="1" applyBorder="1" applyAlignment="1">
      <alignment horizontal="right"/>
    </xf>
    <xf numFmtId="164" fontId="24" fillId="0" borderId="0" xfId="11" applyNumberFormat="1" applyFont="1" applyFill="1" applyBorder="1" applyAlignment="1">
      <alignment horizontal="center" wrapText="1"/>
    </xf>
    <xf numFmtId="0" fontId="24" fillId="7" borderId="15" xfId="9" applyFont="1" applyFill="1" applyBorder="1" applyAlignment="1">
      <alignment horizontal="left" wrapText="1"/>
    </xf>
    <xf numFmtId="0" fontId="17" fillId="7" borderId="15" xfId="0" applyFont="1" applyFill="1" applyBorder="1"/>
    <xf numFmtId="9" fontId="22" fillId="0" borderId="0" xfId="11" applyFont="1" applyBorder="1" applyAlignment="1">
      <alignment horizontal="right"/>
    </xf>
    <xf numFmtId="9" fontId="22" fillId="0" borderId="0" xfId="11" applyFont="1" applyBorder="1" applyAlignment="1"/>
    <xf numFmtId="9" fontId="22" fillId="0" borderId="0" xfId="11" applyFont="1" applyBorder="1"/>
    <xf numFmtId="0" fontId="17" fillId="7" borderId="19" xfId="0" applyFont="1" applyFill="1" applyBorder="1"/>
    <xf numFmtId="0" fontId="17" fillId="7" borderId="19" xfId="0" applyFont="1" applyFill="1" applyBorder="1" applyAlignment="1">
      <alignment horizontal="right"/>
    </xf>
    <xf numFmtId="0" fontId="24" fillId="7" borderId="5" xfId="9" applyFont="1" applyFill="1" applyBorder="1" applyAlignment="1">
      <alignment horizontal="center"/>
    </xf>
    <xf numFmtId="0" fontId="24" fillId="7" borderId="21" xfId="9" applyFont="1" applyFill="1" applyBorder="1" applyAlignment="1">
      <alignment horizontal="center"/>
    </xf>
    <xf numFmtId="0" fontId="24" fillId="7" borderId="15" xfId="9" applyFont="1" applyFill="1" applyBorder="1" applyAlignment="1">
      <alignment horizontal="right"/>
    </xf>
    <xf numFmtId="0" fontId="24" fillId="7" borderId="15" xfId="9" applyFont="1" applyFill="1" applyBorder="1" applyAlignment="1">
      <alignment horizontal="center" wrapText="1"/>
    </xf>
    <xf numFmtId="0" fontId="24" fillId="8" borderId="15" xfId="2" applyFont="1" applyFill="1" applyBorder="1" applyAlignment="1">
      <alignment horizontal="left" wrapText="1"/>
    </xf>
    <xf numFmtId="0" fontId="17" fillId="0" borderId="0" xfId="0" applyFont="1" applyAlignment="1">
      <alignment horizontal="right"/>
    </xf>
    <xf numFmtId="9" fontId="17" fillId="0" borderId="0" xfId="11" applyFont="1" applyBorder="1" applyAlignment="1">
      <alignment horizontal="right"/>
    </xf>
    <xf numFmtId="0" fontId="30" fillId="0" borderId="0" xfId="0" applyFont="1"/>
    <xf numFmtId="0" fontId="17" fillId="7" borderId="19" xfId="0" applyFont="1" applyFill="1" applyBorder="1" applyAlignment="1">
      <alignment horizontal="center"/>
    </xf>
    <xf numFmtId="0" fontId="17" fillId="7" borderId="21" xfId="0" applyFont="1" applyFill="1" applyBorder="1"/>
    <xf numFmtId="0" fontId="17" fillId="7" borderId="21" xfId="0" applyFont="1" applyFill="1" applyBorder="1" applyAlignment="1">
      <alignment horizontal="center"/>
    </xf>
    <xf numFmtId="0" fontId="17" fillId="11" borderId="0" xfId="0" applyFont="1" applyFill="1"/>
    <xf numFmtId="0" fontId="17" fillId="11" borderId="0" xfId="0" applyFont="1" applyFill="1" applyAlignment="1">
      <alignment horizontal="right"/>
    </xf>
    <xf numFmtId="9" fontId="17" fillId="11" borderId="0" xfId="11" applyFont="1" applyFill="1" applyBorder="1" applyAlignment="1">
      <alignment horizontal="right"/>
    </xf>
    <xf numFmtId="0" fontId="17" fillId="7" borderId="0" xfId="0" applyFont="1" applyFill="1"/>
    <xf numFmtId="0" fontId="17" fillId="7" borderId="0" xfId="0" applyFont="1" applyFill="1" applyAlignment="1">
      <alignment horizontal="right"/>
    </xf>
    <xf numFmtId="9" fontId="17" fillId="7" borderId="0" xfId="0" applyNumberFormat="1" applyFont="1" applyFill="1"/>
    <xf numFmtId="0" fontId="17" fillId="11" borderId="0" xfId="0" applyFont="1" applyFill="1" applyAlignment="1">
      <alignment horizontal="center"/>
    </xf>
    <xf numFmtId="0" fontId="17" fillId="7" borderId="0" xfId="0" applyFont="1" applyFill="1" applyAlignment="1">
      <alignment horizontal="center"/>
    </xf>
    <xf numFmtId="0" fontId="24" fillId="0" borderId="1" xfId="13" applyFont="1" applyBorder="1" applyAlignment="1">
      <alignment wrapText="1"/>
    </xf>
    <xf numFmtId="0" fontId="24" fillId="0" borderId="1" xfId="13" applyFont="1" applyBorder="1" applyAlignment="1">
      <alignment horizontal="center" wrapText="1"/>
    </xf>
    <xf numFmtId="0" fontId="24" fillId="0" borderId="1" xfId="13" applyFont="1" applyBorder="1" applyAlignment="1">
      <alignment horizontal="right" wrapText="1"/>
    </xf>
    <xf numFmtId="0" fontId="24" fillId="0" borderId="0" xfId="3" applyFont="1" applyAlignment="1">
      <alignment horizontal="left" wrapText="1"/>
    </xf>
    <xf numFmtId="164" fontId="17" fillId="0" borderId="0" xfId="11" applyNumberFormat="1" applyFont="1" applyBorder="1" applyAlignment="1">
      <alignment horizontal="center"/>
    </xf>
    <xf numFmtId="0" fontId="24" fillId="0" borderId="0" xfId="3" applyFont="1" applyAlignment="1">
      <alignment horizontal="center" wrapText="1"/>
    </xf>
    <xf numFmtId="0" fontId="24" fillId="0" borderId="0" xfId="3" applyFont="1" applyAlignment="1">
      <alignment horizontal="left"/>
    </xf>
    <xf numFmtId="0" fontId="17" fillId="9" borderId="0" xfId="0" applyFont="1" applyFill="1"/>
    <xf numFmtId="0" fontId="17" fillId="9" borderId="0" xfId="0" applyFont="1" applyFill="1" applyAlignment="1">
      <alignment horizontal="center"/>
    </xf>
    <xf numFmtId="9" fontId="17" fillId="9" borderId="0" xfId="11" applyFont="1" applyFill="1" applyBorder="1" applyAlignment="1">
      <alignment horizontal="center"/>
    </xf>
    <xf numFmtId="164" fontId="17" fillId="9" borderId="0" xfId="11" applyNumberFormat="1" applyFont="1" applyFill="1" applyBorder="1" applyAlignment="1">
      <alignment horizontal="center"/>
    </xf>
    <xf numFmtId="9" fontId="26" fillId="9" borderId="0" xfId="11" applyFont="1" applyFill="1" applyBorder="1" applyAlignment="1">
      <alignment horizontal="center"/>
    </xf>
    <xf numFmtId="9" fontId="17" fillId="0" borderId="0" xfId="11" applyFont="1" applyFill="1" applyBorder="1" applyAlignment="1">
      <alignment horizontal="center"/>
    </xf>
    <xf numFmtId="9" fontId="26" fillId="0" borderId="0" xfId="11" applyFont="1" applyFill="1" applyBorder="1" applyAlignment="1">
      <alignment horizontal="center"/>
    </xf>
    <xf numFmtId="164" fontId="17" fillId="0" borderId="0" xfId="11" applyNumberFormat="1" applyFont="1" applyFill="1" applyBorder="1" applyAlignment="1">
      <alignment horizontal="center"/>
    </xf>
    <xf numFmtId="165" fontId="17" fillId="0" borderId="0" xfId="0" applyNumberFormat="1" applyFont="1" applyAlignment="1">
      <alignment horizontal="center"/>
    </xf>
    <xf numFmtId="1" fontId="17" fillId="0" borderId="0" xfId="0" applyNumberFormat="1" applyFont="1"/>
    <xf numFmtId="0" fontId="17" fillId="5" borderId="0" xfId="0" applyFont="1" applyFill="1"/>
    <xf numFmtId="1" fontId="17" fillId="5" borderId="0" xfId="0" applyNumberFormat="1" applyFont="1" applyFill="1"/>
    <xf numFmtId="0" fontId="26" fillId="5" borderId="0" xfId="0" applyFont="1" applyFill="1"/>
    <xf numFmtId="1" fontId="26" fillId="5" borderId="0" xfId="0" applyNumberFormat="1" applyFont="1" applyFill="1"/>
    <xf numFmtId="0" fontId="26" fillId="7" borderId="0" xfId="0" applyFont="1" applyFill="1"/>
    <xf numFmtId="1" fontId="26" fillId="7" borderId="0" xfId="0" applyNumberFormat="1" applyFont="1" applyFill="1"/>
    <xf numFmtId="0" fontId="26" fillId="0" borderId="0" xfId="0" applyFont="1"/>
    <xf numFmtId="1" fontId="26" fillId="0" borderId="0" xfId="0" applyNumberFormat="1" applyFont="1"/>
    <xf numFmtId="0" fontId="26" fillId="5" borderId="26" xfId="0" applyFont="1" applyFill="1" applyBorder="1"/>
    <xf numFmtId="0" fontId="17" fillId="5" borderId="26" xfId="0" applyFont="1" applyFill="1" applyBorder="1"/>
    <xf numFmtId="1" fontId="26" fillId="5" borderId="26" xfId="0" applyNumberFormat="1" applyFont="1" applyFill="1" applyBorder="1"/>
    <xf numFmtId="0" fontId="24" fillId="10" borderId="0" xfId="4" applyFont="1" applyFill="1" applyAlignment="1">
      <alignment wrapText="1"/>
    </xf>
    <xf numFmtId="0" fontId="17" fillId="5" borderId="11" xfId="0" applyFont="1" applyFill="1" applyBorder="1"/>
    <xf numFmtId="0" fontId="17" fillId="7" borderId="11" xfId="0" applyFont="1" applyFill="1" applyBorder="1"/>
    <xf numFmtId="0" fontId="17" fillId="14" borderId="0" xfId="0" applyFont="1" applyFill="1"/>
    <xf numFmtId="0" fontId="17" fillId="14" borderId="0" xfId="0" applyFont="1" applyFill="1" applyAlignment="1">
      <alignment horizontal="right"/>
    </xf>
    <xf numFmtId="1" fontId="17" fillId="15" borderId="0" xfId="11" applyNumberFormat="1" applyFont="1" applyFill="1" applyBorder="1" applyAlignment="1">
      <alignment horizontal="right"/>
    </xf>
    <xf numFmtId="0" fontId="33" fillId="0" borderId="0" xfId="1" applyFont="1" applyBorder="1" applyAlignment="1" applyProtection="1"/>
    <xf numFmtId="0" fontId="20" fillId="12" borderId="29" xfId="12" applyFont="1" applyFill="1" applyBorder="1" applyAlignment="1">
      <alignment horizontal="center" wrapText="1"/>
    </xf>
    <xf numFmtId="0" fontId="34" fillId="0" borderId="0" xfId="0" applyFont="1"/>
    <xf numFmtId="0" fontId="35" fillId="0" borderId="0" xfId="0" applyFont="1"/>
    <xf numFmtId="0" fontId="29" fillId="0" borderId="0" xfId="0" applyFont="1"/>
    <xf numFmtId="0" fontId="24" fillId="10" borderId="0" xfId="4" applyFont="1" applyFill="1"/>
    <xf numFmtId="0" fontId="17" fillId="0" borderId="28" xfId="0" applyFont="1" applyBorder="1" applyAlignment="1">
      <alignment wrapText="1"/>
    </xf>
    <xf numFmtId="0" fontId="17" fillId="6" borderId="15" xfId="0" applyFont="1" applyFill="1" applyBorder="1" applyAlignment="1">
      <alignment textRotation="90" wrapText="1"/>
    </xf>
    <xf numFmtId="0" fontId="17" fillId="6" borderId="15" xfId="0" applyFont="1" applyFill="1" applyBorder="1" applyAlignment="1">
      <alignment textRotation="90" shrinkToFit="1"/>
    </xf>
    <xf numFmtId="49" fontId="41" fillId="17" borderId="37" xfId="0" applyNumberFormat="1" applyFont="1" applyFill="1" applyBorder="1" applyAlignment="1">
      <alignment horizontal="left"/>
    </xf>
    <xf numFmtId="49" fontId="41" fillId="17" borderId="37" xfId="0" applyNumberFormat="1" applyFont="1" applyFill="1" applyBorder="1" applyAlignment="1">
      <alignment horizontal="left" vertical="center" wrapText="1"/>
    </xf>
    <xf numFmtId="49" fontId="41" fillId="17" borderId="37" xfId="0" applyNumberFormat="1" applyFont="1" applyFill="1" applyBorder="1" applyAlignment="1">
      <alignment horizontal="left" wrapText="1"/>
    </xf>
    <xf numFmtId="3" fontId="41" fillId="17" borderId="37" xfId="0" applyNumberFormat="1" applyFont="1" applyFill="1" applyBorder="1" applyAlignment="1">
      <alignment horizontal="center"/>
    </xf>
    <xf numFmtId="167" fontId="41" fillId="17" borderId="37" xfId="0" applyNumberFormat="1" applyFont="1" applyFill="1" applyBorder="1" applyAlignment="1">
      <alignment horizontal="center"/>
    </xf>
    <xf numFmtId="168" fontId="41" fillId="17" borderId="37" xfId="0" applyNumberFormat="1" applyFont="1" applyFill="1" applyBorder="1" applyAlignment="1">
      <alignment horizontal="center"/>
    </xf>
    <xf numFmtId="0" fontId="41" fillId="21" borderId="37" xfId="0" applyFont="1" applyFill="1" applyBorder="1" applyAlignment="1">
      <alignment horizontal="left" vertical="center" wrapText="1"/>
    </xf>
    <xf numFmtId="0" fontId="42" fillId="21" borderId="37" xfId="0" applyFont="1" applyFill="1" applyBorder="1" applyAlignment="1">
      <alignment horizontal="left" wrapText="1"/>
    </xf>
    <xf numFmtId="0" fontId="41" fillId="21" borderId="37" xfId="0" applyFont="1" applyFill="1" applyBorder="1" applyAlignment="1">
      <alignment horizontal="left" wrapText="1"/>
    </xf>
    <xf numFmtId="0" fontId="24" fillId="12" borderId="20" xfId="12" applyFont="1" applyFill="1" applyBorder="1" applyAlignment="1">
      <alignment horizontal="center" wrapText="1"/>
    </xf>
    <xf numFmtId="0" fontId="41" fillId="16" borderId="47" xfId="0" applyFont="1" applyFill="1" applyBorder="1" applyAlignment="1">
      <alignment horizontal="center"/>
    </xf>
    <xf numFmtId="0" fontId="41" fillId="16" borderId="48" xfId="0" applyFont="1" applyFill="1" applyBorder="1" applyAlignment="1">
      <alignment horizontal="center"/>
    </xf>
    <xf numFmtId="0" fontId="41" fillId="16" borderId="43" xfId="0" applyFont="1" applyFill="1" applyBorder="1" applyAlignment="1">
      <alignment horizontal="center"/>
    </xf>
    <xf numFmtId="0" fontId="41" fillId="16" borderId="40" xfId="0" applyFont="1" applyFill="1" applyBorder="1" applyAlignment="1">
      <alignment horizontal="center"/>
    </xf>
    <xf numFmtId="169" fontId="41" fillId="16" borderId="40" xfId="0" applyNumberFormat="1" applyFont="1" applyFill="1" applyBorder="1" applyAlignment="1">
      <alignment horizontal="center"/>
    </xf>
    <xf numFmtId="0" fontId="41" fillId="16" borderId="44" xfId="0" applyFont="1" applyFill="1" applyBorder="1" applyAlignment="1">
      <alignment horizontal="center"/>
    </xf>
    <xf numFmtId="0" fontId="41" fillId="22" borderId="0" xfId="0" applyFont="1" applyFill="1" applyAlignment="1">
      <alignment horizontal="left" vertical="center"/>
    </xf>
    <xf numFmtId="168" fontId="41" fillId="22" borderId="0" xfId="0" applyNumberFormat="1" applyFont="1" applyFill="1" applyAlignment="1">
      <alignment horizontal="center" vertical="center"/>
    </xf>
    <xf numFmtId="0" fontId="41" fillId="21" borderId="0" xfId="0" applyFont="1" applyFill="1" applyAlignment="1">
      <alignment horizontal="left" vertical="center"/>
    </xf>
    <xf numFmtId="168" fontId="41" fillId="21" borderId="0" xfId="0" applyNumberFormat="1" applyFont="1" applyFill="1" applyAlignment="1">
      <alignment horizontal="center" vertical="center"/>
    </xf>
    <xf numFmtId="0" fontId="43" fillId="25" borderId="0" xfId="0" applyFont="1" applyFill="1" applyAlignment="1">
      <alignment horizontal="left" vertical="center"/>
    </xf>
    <xf numFmtId="0" fontId="43" fillId="25" borderId="0" xfId="0" applyFont="1" applyFill="1" applyAlignment="1">
      <alignment horizontal="center" vertical="center"/>
    </xf>
    <xf numFmtId="3" fontId="41" fillId="22" borderId="0" xfId="0" applyNumberFormat="1" applyFont="1" applyFill="1" applyAlignment="1">
      <alignment horizontal="center" vertical="center"/>
    </xf>
    <xf numFmtId="167" fontId="41" fillId="22" borderId="0" xfId="0" applyNumberFormat="1" applyFont="1" applyFill="1" applyAlignment="1">
      <alignment horizontal="center" vertical="center"/>
    </xf>
    <xf numFmtId="3" fontId="41" fillId="21" borderId="0" xfId="0" applyNumberFormat="1" applyFont="1" applyFill="1" applyAlignment="1">
      <alignment horizontal="center" vertical="center"/>
    </xf>
    <xf numFmtId="3" fontId="43" fillId="25" borderId="0" xfId="0" applyNumberFormat="1" applyFont="1" applyFill="1" applyAlignment="1">
      <alignment horizontal="center" vertical="center"/>
    </xf>
    <xf numFmtId="169" fontId="41" fillId="16" borderId="0" xfId="0" applyNumberFormat="1" applyFont="1" applyFill="1" applyAlignment="1">
      <alignment horizontal="center"/>
    </xf>
    <xf numFmtId="0" fontId="41" fillId="16" borderId="0" xfId="0" applyFont="1" applyFill="1" applyAlignment="1">
      <alignment horizontal="center"/>
    </xf>
    <xf numFmtId="10" fontId="43" fillId="25" borderId="0" xfId="11" applyNumberFormat="1" applyFont="1" applyFill="1" applyAlignment="1">
      <alignment horizontal="center" vertical="center"/>
    </xf>
    <xf numFmtId="168" fontId="41" fillId="17" borderId="51" xfId="0" applyNumberFormat="1" applyFont="1" applyFill="1" applyBorder="1" applyAlignment="1">
      <alignment horizontal="center"/>
    </xf>
    <xf numFmtId="168" fontId="41" fillId="26" borderId="42" xfId="0" applyNumberFormat="1" applyFont="1" applyFill="1" applyBorder="1" applyAlignment="1">
      <alignment horizontal="center"/>
    </xf>
    <xf numFmtId="168" fontId="41" fillId="21" borderId="40" xfId="0" applyNumberFormat="1" applyFont="1" applyFill="1" applyBorder="1" applyAlignment="1">
      <alignment horizontal="center" vertical="center"/>
    </xf>
    <xf numFmtId="166" fontId="24" fillId="13" borderId="29" xfId="0" applyNumberFormat="1" applyFont="1" applyFill="1" applyBorder="1" applyAlignment="1">
      <alignment horizontal="right" vertical="center"/>
    </xf>
    <xf numFmtId="0" fontId="24" fillId="13" borderId="29" xfId="0" applyFont="1" applyFill="1" applyBorder="1" applyAlignment="1">
      <alignment horizontal="right"/>
    </xf>
    <xf numFmtId="49" fontId="45" fillId="17" borderId="37" xfId="0" applyNumberFormat="1" applyFont="1" applyFill="1" applyBorder="1" applyAlignment="1">
      <alignment horizontal="left"/>
    </xf>
    <xf numFmtId="166" fontId="45" fillId="17" borderId="37" xfId="0" applyNumberFormat="1" applyFont="1" applyFill="1" applyBorder="1" applyAlignment="1">
      <alignment horizontal="right"/>
    </xf>
    <xf numFmtId="0" fontId="45" fillId="17" borderId="37" xfId="0" applyFont="1" applyFill="1" applyBorder="1" applyAlignment="1">
      <alignment horizontal="right"/>
    </xf>
    <xf numFmtId="0" fontId="45" fillId="27" borderId="37" xfId="0" applyFont="1" applyFill="1" applyBorder="1" applyAlignment="1">
      <alignment horizontal="right"/>
    </xf>
    <xf numFmtId="0" fontId="24" fillId="28" borderId="29" xfId="0" applyFont="1" applyFill="1" applyBorder="1" applyAlignment="1">
      <alignment horizontal="right"/>
    </xf>
    <xf numFmtId="1" fontId="17" fillId="7" borderId="11" xfId="0" applyNumberFormat="1" applyFont="1" applyFill="1" applyBorder="1"/>
    <xf numFmtId="1" fontId="17" fillId="0" borderId="0" xfId="0" applyNumberFormat="1" applyFont="1" applyAlignment="1">
      <alignment horizontal="center"/>
    </xf>
    <xf numFmtId="1" fontId="17" fillId="9" borderId="0" xfId="0" applyNumberFormat="1" applyFont="1" applyFill="1" applyAlignment="1">
      <alignment horizontal="center"/>
    </xf>
    <xf numFmtId="49" fontId="41" fillId="0" borderId="37" xfId="0" applyNumberFormat="1" applyFont="1" applyBorder="1" applyAlignment="1">
      <alignment horizontal="left" vertical="center" wrapText="1"/>
    </xf>
    <xf numFmtId="9" fontId="17" fillId="0" borderId="54" xfId="11" applyFont="1" applyBorder="1" applyAlignment="1">
      <alignment horizontal="right"/>
    </xf>
    <xf numFmtId="0" fontId="17" fillId="0" borderId="54" xfId="0" applyFont="1" applyBorder="1"/>
    <xf numFmtId="9" fontId="17" fillId="0" borderId="55" xfId="11" applyFont="1" applyBorder="1" applyAlignment="1">
      <alignment horizontal="right"/>
    </xf>
    <xf numFmtId="0" fontId="17" fillId="0" borderId="55" xfId="0" applyFont="1" applyBorder="1"/>
    <xf numFmtId="9" fontId="17" fillId="0" borderId="55" xfId="11" applyFont="1" applyFill="1" applyBorder="1"/>
    <xf numFmtId="0" fontId="17" fillId="0" borderId="56" xfId="0" applyFont="1" applyBorder="1"/>
    <xf numFmtId="0" fontId="17" fillId="0" borderId="56" xfId="0" applyFont="1" applyBorder="1" applyAlignment="1">
      <alignment horizontal="center"/>
    </xf>
    <xf numFmtId="0" fontId="17" fillId="0" borderId="56" xfId="0" applyFont="1" applyBorder="1" applyAlignment="1">
      <alignment horizontal="right"/>
    </xf>
    <xf numFmtId="9" fontId="17" fillId="0" borderId="56" xfId="11" applyFont="1" applyFill="1" applyBorder="1" applyAlignment="1">
      <alignment horizontal="right"/>
    </xf>
    <xf numFmtId="0" fontId="24" fillId="0" borderId="56" xfId="13" applyFont="1" applyBorder="1" applyAlignment="1">
      <alignment horizontal="right" wrapText="1"/>
    </xf>
    <xf numFmtId="0" fontId="46" fillId="0" borderId="0" xfId="1" applyFont="1" applyBorder="1" applyAlignment="1" applyProtection="1"/>
    <xf numFmtId="0" fontId="24" fillId="9" borderId="53" xfId="6" applyFont="1" applyFill="1" applyBorder="1" applyAlignment="1">
      <alignment horizontal="center" wrapText="1"/>
    </xf>
    <xf numFmtId="0" fontId="24" fillId="9" borderId="53" xfId="6" applyFont="1" applyFill="1" applyBorder="1" applyAlignment="1">
      <alignment horizontal="center"/>
    </xf>
    <xf numFmtId="10" fontId="1" fillId="0" borderId="0" xfId="12" applyNumberFormat="1"/>
    <xf numFmtId="49" fontId="49" fillId="0" borderId="37" xfId="0" applyNumberFormat="1" applyFont="1" applyBorder="1" applyAlignment="1">
      <alignment horizontal="left"/>
    </xf>
    <xf numFmtId="49" fontId="49" fillId="0" borderId="37" xfId="0" applyNumberFormat="1" applyFont="1" applyBorder="1" applyAlignment="1">
      <alignment horizontal="left" wrapText="1"/>
    </xf>
    <xf numFmtId="168" fontId="49" fillId="0" borderId="37" xfId="0" applyNumberFormat="1" applyFont="1" applyBorder="1" applyAlignment="1">
      <alignment horizontal="center"/>
    </xf>
    <xf numFmtId="49" fontId="39" fillId="17" borderId="37" xfId="14" applyNumberFormat="1" applyFont="1" applyFill="1" applyBorder="1" applyAlignment="1">
      <alignment horizontal="left"/>
    </xf>
    <xf numFmtId="0" fontId="24" fillId="12" borderId="50" xfId="12" applyFont="1" applyFill="1" applyBorder="1" applyAlignment="1">
      <alignment horizontal="center" wrapText="1"/>
    </xf>
    <xf numFmtId="0" fontId="50" fillId="0" borderId="0" xfId="0" applyFont="1"/>
    <xf numFmtId="0" fontId="51" fillId="0" borderId="0" xfId="0" applyFont="1"/>
    <xf numFmtId="0" fontId="50" fillId="0" borderId="0" xfId="0" applyFont="1" applyAlignment="1">
      <alignment wrapText="1"/>
    </xf>
    <xf numFmtId="0" fontId="52" fillId="0" borderId="0" xfId="0" applyFont="1"/>
    <xf numFmtId="0" fontId="53" fillId="0" borderId="0" xfId="0" applyFont="1"/>
    <xf numFmtId="0" fontId="56" fillId="0" borderId="52" xfId="0" applyFont="1" applyBorder="1" applyAlignment="1">
      <alignment horizontal="center" vertical="center"/>
    </xf>
    <xf numFmtId="17" fontId="50" fillId="0" borderId="0" xfId="0" applyNumberFormat="1" applyFont="1"/>
    <xf numFmtId="0" fontId="0" fillId="0" borderId="0" xfId="0" applyAlignment="1">
      <alignment wrapText="1"/>
    </xf>
    <xf numFmtId="0" fontId="17" fillId="9" borderId="15" xfId="0" applyFont="1" applyFill="1" applyBorder="1" applyAlignment="1">
      <alignment horizontal="center"/>
    </xf>
    <xf numFmtId="0" fontId="4" fillId="0" borderId="0" xfId="1" applyBorder="1" applyAlignment="1" applyProtection="1"/>
    <xf numFmtId="9" fontId="18" fillId="0" borderId="0" xfId="11" applyFont="1"/>
    <xf numFmtId="0" fontId="17" fillId="0" borderId="6" xfId="0" applyFont="1" applyBorder="1" applyAlignment="1">
      <alignment vertical="center" wrapText="1"/>
    </xf>
    <xf numFmtId="0" fontId="45" fillId="17" borderId="37" xfId="0" applyFont="1" applyFill="1" applyBorder="1" applyAlignment="1">
      <alignment horizontal="center"/>
    </xf>
    <xf numFmtId="9" fontId="24" fillId="28" borderId="29" xfId="11" applyFont="1" applyFill="1" applyBorder="1" applyAlignment="1">
      <alignment horizontal="right"/>
    </xf>
    <xf numFmtId="0" fontId="24" fillId="28" borderId="29" xfId="11" applyNumberFormat="1" applyFont="1" applyFill="1" applyBorder="1" applyAlignment="1">
      <alignment horizontal="right"/>
    </xf>
    <xf numFmtId="49" fontId="42" fillId="17" borderId="37" xfId="0" applyNumberFormat="1" applyFont="1" applyFill="1" applyBorder="1" applyAlignment="1">
      <alignment horizontal="left" wrapText="1"/>
    </xf>
    <xf numFmtId="3" fontId="17" fillId="0" borderId="0" xfId="0" applyNumberFormat="1" applyFont="1" applyAlignment="1">
      <alignment wrapText="1"/>
    </xf>
    <xf numFmtId="3" fontId="17" fillId="0" borderId="0" xfId="0" applyNumberFormat="1" applyFont="1"/>
    <xf numFmtId="49" fontId="41" fillId="17" borderId="37" xfId="0" applyNumberFormat="1" applyFont="1" applyFill="1" applyBorder="1" applyAlignment="1">
      <alignment wrapText="1"/>
    </xf>
    <xf numFmtId="49" fontId="41" fillId="17" borderId="37" xfId="14" applyNumberFormat="1" applyFont="1" applyFill="1" applyBorder="1" applyAlignment="1">
      <alignment horizontal="left"/>
    </xf>
    <xf numFmtId="49" fontId="41" fillId="17" borderId="37" xfId="14" applyNumberFormat="1" applyFont="1" applyFill="1" applyBorder="1" applyAlignment="1">
      <alignment wrapText="1"/>
    </xf>
    <xf numFmtId="3" fontId="41" fillId="17" borderId="37" xfId="14" applyNumberFormat="1" applyFont="1" applyFill="1" applyBorder="1" applyAlignment="1">
      <alignment horizontal="center"/>
    </xf>
    <xf numFmtId="167" fontId="41" fillId="17" borderId="37" xfId="14" applyNumberFormat="1" applyFont="1" applyFill="1" applyBorder="1" applyAlignment="1">
      <alignment horizontal="center"/>
    </xf>
    <xf numFmtId="49" fontId="41" fillId="17" borderId="37" xfId="14" applyNumberFormat="1" applyFont="1" applyFill="1" applyBorder="1" applyAlignment="1">
      <alignment horizontal="left" wrapText="1"/>
    </xf>
    <xf numFmtId="0" fontId="57" fillId="0" borderId="0" xfId="1" applyFont="1" applyBorder="1" applyAlignment="1" applyProtection="1">
      <alignment horizontal="center"/>
    </xf>
    <xf numFmtId="0" fontId="17" fillId="0" borderId="0" xfId="12" applyFont="1" applyAlignment="1">
      <alignment horizontal="center"/>
    </xf>
    <xf numFmtId="0" fontId="13" fillId="0" borderId="0" xfId="0" applyFont="1" applyAlignment="1">
      <alignment wrapText="1"/>
    </xf>
    <xf numFmtId="164" fontId="0" fillId="0" borderId="0" xfId="11" applyNumberFormat="1" applyFont="1" applyBorder="1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3" fontId="41" fillId="17" borderId="37" xfId="0" applyNumberFormat="1" applyFont="1" applyFill="1" applyBorder="1" applyAlignment="1">
      <alignment horizontal="center" wrapText="1"/>
    </xf>
    <xf numFmtId="167" fontId="41" fillId="17" borderId="37" xfId="0" applyNumberFormat="1" applyFont="1" applyFill="1" applyBorder="1" applyAlignment="1">
      <alignment horizontal="center" wrapText="1"/>
    </xf>
    <xf numFmtId="168" fontId="41" fillId="17" borderId="37" xfId="0" applyNumberFormat="1" applyFont="1" applyFill="1" applyBorder="1" applyAlignment="1">
      <alignment horizontal="center" wrapText="1"/>
    </xf>
    <xf numFmtId="49" fontId="41" fillId="21" borderId="37" xfId="0" applyNumberFormat="1" applyFont="1" applyFill="1" applyBorder="1" applyAlignment="1">
      <alignment horizontal="left" wrapText="1"/>
    </xf>
    <xf numFmtId="3" fontId="41" fillId="21" borderId="37" xfId="0" applyNumberFormat="1" applyFont="1" applyFill="1" applyBorder="1" applyAlignment="1">
      <alignment horizontal="center" wrapText="1"/>
    </xf>
    <xf numFmtId="0" fontId="41" fillId="19" borderId="37" xfId="0" applyFont="1" applyFill="1" applyBorder="1" applyAlignment="1">
      <alignment horizontal="left" wrapText="1"/>
    </xf>
    <xf numFmtId="3" fontId="41" fillId="19" borderId="37" xfId="0" applyNumberFormat="1" applyFont="1" applyFill="1" applyBorder="1" applyAlignment="1">
      <alignment horizontal="center" wrapText="1"/>
    </xf>
    <xf numFmtId="0" fontId="41" fillId="19" borderId="37" xfId="0" applyFont="1" applyFill="1" applyBorder="1" applyAlignment="1">
      <alignment horizontal="center" wrapText="1"/>
    </xf>
    <xf numFmtId="0" fontId="44" fillId="17" borderId="0" xfId="0" applyFont="1" applyFill="1" applyAlignment="1">
      <alignment horizontal="left" wrapText="1"/>
    </xf>
    <xf numFmtId="168" fontId="41" fillId="23" borderId="37" xfId="0" applyNumberFormat="1" applyFont="1" applyFill="1" applyBorder="1" applyAlignment="1">
      <alignment horizontal="center" wrapText="1"/>
    </xf>
    <xf numFmtId="168" fontId="41" fillId="24" borderId="37" xfId="0" applyNumberFormat="1" applyFont="1" applyFill="1" applyBorder="1" applyAlignment="1">
      <alignment horizontal="center" wrapText="1"/>
    </xf>
    <xf numFmtId="168" fontId="41" fillId="19" borderId="37" xfId="0" applyNumberFormat="1" applyFont="1" applyFill="1" applyBorder="1" applyAlignment="1">
      <alignment horizontal="center" wrapText="1"/>
    </xf>
    <xf numFmtId="168" fontId="41" fillId="0" borderId="37" xfId="0" applyNumberFormat="1" applyFont="1" applyBorder="1" applyAlignment="1">
      <alignment horizontal="center" wrapText="1"/>
    </xf>
    <xf numFmtId="0" fontId="41" fillId="16" borderId="47" xfId="0" applyFont="1" applyFill="1" applyBorder="1" applyAlignment="1">
      <alignment horizontal="center" wrapText="1"/>
    </xf>
    <xf numFmtId="0" fontId="41" fillId="16" borderId="48" xfId="0" applyFont="1" applyFill="1" applyBorder="1" applyAlignment="1">
      <alignment horizontal="center" wrapText="1"/>
    </xf>
    <xf numFmtId="169" fontId="41" fillId="16" borderId="0" xfId="0" applyNumberFormat="1" applyFont="1" applyFill="1" applyAlignment="1">
      <alignment horizontal="center" wrapText="1"/>
    </xf>
    <xf numFmtId="0" fontId="41" fillId="16" borderId="0" xfId="0" applyFont="1" applyFill="1" applyAlignment="1">
      <alignment horizontal="center" wrapText="1"/>
    </xf>
    <xf numFmtId="0" fontId="41" fillId="16" borderId="43" xfId="0" applyFont="1" applyFill="1" applyBorder="1" applyAlignment="1">
      <alignment horizontal="center" wrapText="1"/>
    </xf>
    <xf numFmtId="0" fontId="41" fillId="16" borderId="40" xfId="0" applyFont="1" applyFill="1" applyBorder="1" applyAlignment="1">
      <alignment horizontal="center" wrapText="1"/>
    </xf>
    <xf numFmtId="0" fontId="41" fillId="16" borderId="44" xfId="0" applyFont="1" applyFill="1" applyBorder="1" applyAlignment="1">
      <alignment horizontal="center" wrapText="1"/>
    </xf>
    <xf numFmtId="169" fontId="41" fillId="16" borderId="11" xfId="0" applyNumberFormat="1" applyFont="1" applyFill="1" applyBorder="1" applyAlignment="1">
      <alignment horizontal="center" wrapText="1"/>
    </xf>
    <xf numFmtId="0" fontId="24" fillId="7" borderId="19" xfId="8" applyFont="1" applyFill="1" applyBorder="1" applyAlignment="1">
      <alignment horizontal="center" wrapText="1"/>
    </xf>
    <xf numFmtId="0" fontId="24" fillId="7" borderId="21" xfId="8" applyFont="1" applyFill="1" applyBorder="1" applyAlignment="1">
      <alignment horizontal="center" wrapText="1"/>
    </xf>
    <xf numFmtId="0" fontId="17" fillId="0" borderId="28" xfId="0" applyFont="1" applyBorder="1" applyAlignment="1">
      <alignment horizontal="center"/>
    </xf>
    <xf numFmtId="9" fontId="17" fillId="0" borderId="28" xfId="11" applyFont="1" applyBorder="1" applyAlignment="1">
      <alignment horizontal="center"/>
    </xf>
    <xf numFmtId="49" fontId="43" fillId="21" borderId="0" xfId="0" applyNumberFormat="1" applyFont="1" applyFill="1" applyAlignment="1">
      <alignment horizontal="left" vertical="center"/>
    </xf>
    <xf numFmtId="0" fontId="17" fillId="0" borderId="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28" fillId="7" borderId="21" xfId="8" applyFont="1" applyFill="1" applyBorder="1" applyAlignment="1">
      <alignment wrapText="1"/>
    </xf>
    <xf numFmtId="164" fontId="28" fillId="7" borderId="21" xfId="11" applyNumberFormat="1" applyFont="1" applyFill="1" applyBorder="1" applyAlignment="1">
      <alignment wrapText="1"/>
    </xf>
    <xf numFmtId="0" fontId="28" fillId="11" borderId="21" xfId="8" applyFont="1" applyFill="1" applyBorder="1" applyAlignment="1">
      <alignment wrapText="1"/>
    </xf>
    <xf numFmtId="164" fontId="28" fillId="11" borderId="21" xfId="11" applyNumberFormat="1" applyFont="1" applyFill="1" applyBorder="1" applyAlignment="1">
      <alignment wrapText="1"/>
    </xf>
    <xf numFmtId="0" fontId="28" fillId="7" borderId="62" xfId="8" applyFont="1" applyFill="1" applyBorder="1" applyAlignment="1">
      <alignment wrapText="1"/>
    </xf>
    <xf numFmtId="164" fontId="28" fillId="7" borderId="62" xfId="11" applyNumberFormat="1" applyFont="1" applyFill="1" applyBorder="1" applyAlignment="1">
      <alignment wrapText="1"/>
    </xf>
    <xf numFmtId="0" fontId="58" fillId="6" borderId="15" xfId="0" applyFont="1" applyFill="1" applyBorder="1" applyAlignment="1">
      <alignment textRotation="90" wrapText="1"/>
    </xf>
    <xf numFmtId="0" fontId="58" fillId="6" borderId="15" xfId="0" applyFont="1" applyFill="1" applyBorder="1" applyAlignment="1">
      <alignment textRotation="90" shrinkToFit="1"/>
    </xf>
    <xf numFmtId="0" fontId="17" fillId="6" borderId="15" xfId="0" applyFont="1" applyFill="1" applyBorder="1" applyAlignment="1">
      <alignment horizontal="center" wrapText="1"/>
    </xf>
    <xf numFmtId="9" fontId="26" fillId="0" borderId="0" xfId="11" applyFont="1" applyBorder="1" applyAlignment="1">
      <alignment horizontal="center"/>
    </xf>
    <xf numFmtId="0" fontId="17" fillId="0" borderId="28" xfId="0" applyFont="1" applyBorder="1" applyAlignment="1">
      <alignment horizontal="center" wrapText="1"/>
    </xf>
    <xf numFmtId="9" fontId="42" fillId="0" borderId="0" xfId="11" applyFont="1" applyAlignment="1">
      <alignment horizontal="center"/>
    </xf>
    <xf numFmtId="0" fontId="41" fillId="22" borderId="0" xfId="0" applyFont="1" applyFill="1" applyAlignment="1">
      <alignment horizontal="left"/>
    </xf>
    <xf numFmtId="0" fontId="41" fillId="21" borderId="0" xfId="0" applyFont="1" applyFill="1" applyAlignment="1">
      <alignment horizontal="left"/>
    </xf>
    <xf numFmtId="0" fontId="63" fillId="0" borderId="28" xfId="0" applyFont="1" applyBorder="1" applyAlignment="1">
      <alignment horizontal="center"/>
    </xf>
    <xf numFmtId="9" fontId="63" fillId="0" borderId="28" xfId="11" applyFont="1" applyBorder="1" applyAlignment="1">
      <alignment horizontal="center"/>
    </xf>
    <xf numFmtId="0" fontId="17" fillId="0" borderId="0" xfId="12" applyFont="1" applyAlignment="1">
      <alignment wrapText="1"/>
    </xf>
    <xf numFmtId="171" fontId="45" fillId="17" borderId="37" xfId="12" applyNumberFormat="1" applyFont="1" applyFill="1" applyBorder="1" applyAlignment="1">
      <alignment horizontal="right"/>
    </xf>
    <xf numFmtId="0" fontId="45" fillId="17" borderId="37" xfId="12" applyFont="1" applyFill="1" applyBorder="1" applyAlignment="1">
      <alignment horizontal="right"/>
    </xf>
    <xf numFmtId="49" fontId="45" fillId="17" borderId="37" xfId="12" applyNumberFormat="1" applyFont="1" applyFill="1" applyBorder="1" applyAlignment="1">
      <alignment horizontal="left"/>
    </xf>
    <xf numFmtId="0" fontId="45" fillId="17" borderId="37" xfId="12" applyFont="1" applyFill="1" applyBorder="1" applyAlignment="1">
      <alignment horizontal="left"/>
    </xf>
    <xf numFmtId="172" fontId="45" fillId="17" borderId="37" xfId="12" applyNumberFormat="1" applyFont="1" applyFill="1" applyBorder="1" applyAlignment="1">
      <alignment horizontal="right"/>
    </xf>
    <xf numFmtId="170" fontId="45" fillId="17" borderId="37" xfId="12" applyNumberFormat="1" applyFont="1" applyFill="1" applyBorder="1" applyAlignment="1">
      <alignment horizontal="left"/>
    </xf>
    <xf numFmtId="0" fontId="22" fillId="0" borderId="0" xfId="12" applyFont="1"/>
    <xf numFmtId="0" fontId="23" fillId="0" borderId="0" xfId="12" applyFont="1"/>
    <xf numFmtId="0" fontId="25" fillId="0" borderId="0" xfId="12" applyFont="1"/>
    <xf numFmtId="0" fontId="17" fillId="0" borderId="0" xfId="12" applyFont="1" applyAlignment="1">
      <alignment horizontal="left" wrapText="1"/>
    </xf>
    <xf numFmtId="0" fontId="17" fillId="0" borderId="0" xfId="12" applyFont="1" applyAlignment="1">
      <alignment horizontal="left"/>
    </xf>
    <xf numFmtId="0" fontId="17" fillId="0" borderId="66" xfId="0" applyFont="1" applyBorder="1" applyAlignment="1">
      <alignment wrapText="1"/>
    </xf>
    <xf numFmtId="0" fontId="17" fillId="0" borderId="66" xfId="0" applyFont="1" applyBorder="1" applyAlignment="1">
      <alignment horizontal="center"/>
    </xf>
    <xf numFmtId="49" fontId="41" fillId="17" borderId="37" xfId="0" applyNumberFormat="1" applyFont="1" applyFill="1" applyBorder="1"/>
    <xf numFmtId="49" fontId="41" fillId="17" borderId="70" xfId="0" applyNumberFormat="1" applyFont="1" applyFill="1" applyBorder="1" applyAlignment="1">
      <alignment horizontal="left" wrapText="1"/>
    </xf>
    <xf numFmtId="49" fontId="41" fillId="17" borderId="70" xfId="0" applyNumberFormat="1" applyFont="1" applyFill="1" applyBorder="1" applyAlignment="1">
      <alignment horizontal="left"/>
    </xf>
    <xf numFmtId="49" fontId="41" fillId="17" borderId="70" xfId="0" applyNumberFormat="1" applyFont="1" applyFill="1" applyBorder="1" applyAlignment="1">
      <alignment wrapText="1"/>
    </xf>
    <xf numFmtId="3" fontId="41" fillId="17" borderId="70" xfId="0" applyNumberFormat="1" applyFont="1" applyFill="1" applyBorder="1" applyAlignment="1">
      <alignment horizontal="center"/>
    </xf>
    <xf numFmtId="167" fontId="41" fillId="17" borderId="70" xfId="0" applyNumberFormat="1" applyFont="1" applyFill="1" applyBorder="1" applyAlignment="1">
      <alignment horizontal="center"/>
    </xf>
    <xf numFmtId="168" fontId="41" fillId="17" borderId="70" xfId="0" applyNumberFormat="1" applyFont="1" applyFill="1" applyBorder="1" applyAlignment="1">
      <alignment horizontal="center"/>
    </xf>
    <xf numFmtId="0" fontId="17" fillId="9" borderId="15" xfId="0" applyFont="1" applyFill="1" applyBorder="1" applyAlignment="1">
      <alignment horizontal="center" wrapText="1"/>
    </xf>
    <xf numFmtId="0" fontId="24" fillId="7" borderId="64" xfId="8" applyFont="1" applyFill="1" applyBorder="1" applyAlignment="1">
      <alignment horizontal="center" wrapText="1"/>
    </xf>
    <xf numFmtId="0" fontId="24" fillId="7" borderId="64" xfId="8" applyFont="1" applyFill="1" applyBorder="1" applyAlignment="1">
      <alignment horizontal="center"/>
    </xf>
    <xf numFmtId="0" fontId="24" fillId="7" borderId="64" xfId="8" applyFont="1" applyFill="1" applyBorder="1" applyAlignment="1">
      <alignment horizontal="left"/>
    </xf>
    <xf numFmtId="166" fontId="45" fillId="17" borderId="37" xfId="12" applyNumberFormat="1" applyFont="1" applyFill="1" applyBorder="1" applyAlignment="1">
      <alignment horizontal="right"/>
    </xf>
    <xf numFmtId="173" fontId="45" fillId="17" borderId="37" xfId="12" applyNumberFormat="1" applyFont="1" applyFill="1" applyBorder="1" applyAlignment="1">
      <alignment horizontal="right"/>
    </xf>
    <xf numFmtId="166" fontId="28" fillId="11" borderId="21" xfId="11" applyNumberFormat="1" applyFont="1" applyFill="1" applyBorder="1" applyAlignment="1">
      <alignment wrapText="1"/>
    </xf>
    <xf numFmtId="170" fontId="45" fillId="17" borderId="41" xfId="12" applyNumberFormat="1" applyFont="1" applyFill="1" applyBorder="1" applyAlignment="1">
      <alignment horizontal="left"/>
    </xf>
    <xf numFmtId="0" fontId="45" fillId="17" borderId="62" xfId="12" applyFont="1" applyFill="1" applyBorder="1" applyAlignment="1">
      <alignment horizontal="left"/>
    </xf>
    <xf numFmtId="0" fontId="45" fillId="17" borderId="45" xfId="12" applyFont="1" applyFill="1" applyBorder="1" applyAlignment="1">
      <alignment horizontal="right"/>
    </xf>
    <xf numFmtId="49" fontId="45" fillId="17" borderId="37" xfId="0" applyNumberFormat="1" applyFont="1" applyFill="1" applyBorder="1"/>
    <xf numFmtId="9" fontId="18" fillId="0" borderId="0" xfId="11" applyFont="1" applyAlignment="1">
      <alignment horizontal="center"/>
    </xf>
    <xf numFmtId="9" fontId="26" fillId="0" borderId="0" xfId="11" applyFont="1" applyAlignment="1">
      <alignment horizontal="center"/>
    </xf>
    <xf numFmtId="0" fontId="17" fillId="6" borderId="15" xfId="0" applyFont="1" applyFill="1" applyBorder="1" applyAlignment="1">
      <alignment horizontal="center" textRotation="90"/>
    </xf>
    <xf numFmtId="0" fontId="17" fillId="0" borderId="66" xfId="0" applyFont="1" applyBorder="1" applyAlignment="1">
      <alignment horizontal="center" wrapText="1"/>
    </xf>
    <xf numFmtId="0" fontId="63" fillId="0" borderId="66" xfId="0" applyFont="1" applyBorder="1" applyAlignment="1">
      <alignment horizontal="center" wrapText="1"/>
    </xf>
    <xf numFmtId="0" fontId="63" fillId="0" borderId="66" xfId="0" applyFont="1" applyBorder="1" applyAlignment="1">
      <alignment wrapText="1"/>
    </xf>
    <xf numFmtId="0" fontId="63" fillId="0" borderId="66" xfId="0" applyFont="1" applyBorder="1" applyAlignment="1">
      <alignment horizontal="center"/>
    </xf>
    <xf numFmtId="170" fontId="45" fillId="17" borderId="37" xfId="12" applyNumberFormat="1" applyFont="1" applyFill="1" applyBorder="1" applyAlignment="1">
      <alignment horizontal="center"/>
    </xf>
    <xf numFmtId="0" fontId="45" fillId="17" borderId="37" xfId="12" applyFont="1" applyFill="1" applyBorder="1" applyAlignment="1">
      <alignment horizontal="center"/>
    </xf>
    <xf numFmtId="0" fontId="45" fillId="17" borderId="42" xfId="12" applyFont="1" applyFill="1" applyBorder="1" applyAlignment="1">
      <alignment horizontal="right"/>
    </xf>
    <xf numFmtId="166" fontId="45" fillId="17" borderId="45" xfId="12" applyNumberFormat="1" applyFont="1" applyFill="1" applyBorder="1" applyAlignment="1">
      <alignment horizontal="right"/>
    </xf>
    <xf numFmtId="49" fontId="41" fillId="17" borderId="70" xfId="0" applyNumberFormat="1" applyFont="1" applyFill="1" applyBorder="1" applyAlignment="1">
      <alignment horizontal="left" vertical="center" wrapText="1"/>
    </xf>
    <xf numFmtId="49" fontId="42" fillId="17" borderId="70" xfId="0" applyNumberFormat="1" applyFont="1" applyFill="1" applyBorder="1" applyAlignment="1">
      <alignment horizontal="left" wrapText="1"/>
    </xf>
    <xf numFmtId="3" fontId="41" fillId="17" borderId="70" xfId="0" applyNumberFormat="1" applyFont="1" applyFill="1" applyBorder="1" applyAlignment="1">
      <alignment horizontal="center" wrapText="1"/>
    </xf>
    <xf numFmtId="167" fontId="41" fillId="17" borderId="70" xfId="0" applyNumberFormat="1" applyFont="1" applyFill="1" applyBorder="1" applyAlignment="1">
      <alignment horizontal="center" wrapText="1"/>
    </xf>
    <xf numFmtId="49" fontId="41" fillId="17" borderId="51" xfId="0" applyNumberFormat="1" applyFont="1" applyFill="1" applyBorder="1" applyAlignment="1">
      <alignment horizontal="left" wrapText="1"/>
    </xf>
    <xf numFmtId="49" fontId="41" fillId="17" borderId="51" xfId="0" applyNumberFormat="1" applyFont="1" applyFill="1" applyBorder="1" applyAlignment="1">
      <alignment horizontal="left" vertical="center" wrapText="1"/>
    </xf>
    <xf numFmtId="49" fontId="42" fillId="17" borderId="51" xfId="0" applyNumberFormat="1" applyFont="1" applyFill="1" applyBorder="1" applyAlignment="1">
      <alignment horizontal="left" wrapText="1"/>
    </xf>
    <xf numFmtId="3" fontId="41" fillId="17" borderId="51" xfId="0" applyNumberFormat="1" applyFont="1" applyFill="1" applyBorder="1" applyAlignment="1">
      <alignment horizontal="center" wrapText="1"/>
    </xf>
    <xf numFmtId="167" fontId="41" fillId="17" borderId="51" xfId="0" applyNumberFormat="1" applyFont="1" applyFill="1" applyBorder="1" applyAlignment="1">
      <alignment horizontal="center" wrapText="1"/>
    </xf>
    <xf numFmtId="0" fontId="49" fillId="0" borderId="62" xfId="0" applyFont="1" applyBorder="1" applyAlignment="1">
      <alignment wrapText="1"/>
    </xf>
    <xf numFmtId="0" fontId="49" fillId="0" borderId="0" xfId="0" applyFont="1" applyAlignment="1">
      <alignment wrapText="1"/>
    </xf>
    <xf numFmtId="0" fontId="49" fillId="0" borderId="62" xfId="0" applyFont="1" applyBorder="1" applyAlignment="1">
      <alignment horizontal="center" wrapText="1"/>
    </xf>
    <xf numFmtId="49" fontId="41" fillId="17" borderId="51" xfId="0" applyNumberFormat="1" applyFont="1" applyFill="1" applyBorder="1" applyAlignment="1">
      <alignment horizontal="left"/>
    </xf>
    <xf numFmtId="49" fontId="41" fillId="17" borderId="51" xfId="0" applyNumberFormat="1" applyFont="1" applyFill="1" applyBorder="1" applyAlignment="1">
      <alignment wrapText="1"/>
    </xf>
    <xf numFmtId="3" fontId="41" fillId="17" borderId="51" xfId="0" applyNumberFormat="1" applyFont="1" applyFill="1" applyBorder="1" applyAlignment="1">
      <alignment horizontal="center"/>
    </xf>
    <xf numFmtId="167" fontId="41" fillId="17" borderId="51" xfId="0" applyNumberFormat="1" applyFont="1" applyFill="1" applyBorder="1" applyAlignment="1">
      <alignment horizontal="center"/>
    </xf>
    <xf numFmtId="3" fontId="41" fillId="22" borderId="61" xfId="0" applyNumberFormat="1" applyFont="1" applyFill="1" applyBorder="1" applyAlignment="1">
      <alignment horizontal="center" vertical="center"/>
    </xf>
    <xf numFmtId="168" fontId="41" fillId="22" borderId="61" xfId="0" applyNumberFormat="1" applyFont="1" applyFill="1" applyBorder="1" applyAlignment="1">
      <alignment horizontal="center" vertical="center"/>
    </xf>
    <xf numFmtId="0" fontId="41" fillId="22" borderId="61" xfId="0" applyFont="1" applyFill="1" applyBorder="1" applyAlignment="1">
      <alignment horizontal="left" vertical="center"/>
    </xf>
    <xf numFmtId="0" fontId="41" fillId="22" borderId="61" xfId="0" applyFont="1" applyFill="1" applyBorder="1" applyAlignment="1">
      <alignment horizontal="left"/>
    </xf>
    <xf numFmtId="0" fontId="49" fillId="0" borderId="0" xfId="12" applyFont="1"/>
    <xf numFmtId="0" fontId="49" fillId="0" borderId="0" xfId="12" applyFont="1" applyAlignment="1">
      <alignment horizontal="center"/>
    </xf>
    <xf numFmtId="3" fontId="41" fillId="16" borderId="47" xfId="15" applyNumberFormat="1" applyFont="1" applyFill="1" applyBorder="1" applyAlignment="1">
      <alignment horizontal="center" wrapText="1"/>
    </xf>
    <xf numFmtId="3" fontId="41" fillId="16" borderId="0" xfId="15" applyNumberFormat="1" applyFont="1" applyFill="1" applyAlignment="1">
      <alignment horizontal="center" wrapText="1"/>
    </xf>
    <xf numFmtId="3" fontId="41" fillId="16" borderId="40" xfId="15" applyNumberFormat="1" applyFont="1" applyFill="1" applyBorder="1" applyAlignment="1">
      <alignment horizontal="center" wrapText="1"/>
    </xf>
    <xf numFmtId="3" fontId="41" fillId="16" borderId="47" xfId="15" applyNumberFormat="1" applyFont="1" applyFill="1" applyBorder="1" applyAlignment="1">
      <alignment horizontal="center"/>
    </xf>
    <xf numFmtId="3" fontId="41" fillId="16" borderId="0" xfId="15" applyNumberFormat="1" applyFont="1" applyFill="1" applyAlignment="1">
      <alignment horizontal="center"/>
    </xf>
    <xf numFmtId="3" fontId="41" fillId="16" borderId="40" xfId="15" applyNumberFormat="1" applyFont="1" applyFill="1" applyBorder="1" applyAlignment="1">
      <alignment horizontal="center"/>
    </xf>
    <xf numFmtId="0" fontId="20" fillId="12" borderId="29" xfId="12" applyFont="1" applyFill="1" applyBorder="1" applyAlignment="1">
      <alignment horizontal="center" vertical="center" wrapText="1"/>
    </xf>
    <xf numFmtId="0" fontId="50" fillId="6" borderId="72" xfId="0" applyFont="1" applyFill="1" applyBorder="1"/>
    <xf numFmtId="0" fontId="17" fillId="0" borderId="52" xfId="0" applyFont="1" applyBorder="1" applyAlignment="1">
      <alignment horizontal="center"/>
    </xf>
    <xf numFmtId="0" fontId="23" fillId="0" borderId="6" xfId="0" applyFont="1" applyBorder="1" applyAlignment="1">
      <alignment wrapText="1"/>
    </xf>
    <xf numFmtId="0" fontId="33" fillId="0" borderId="0" xfId="1" applyFont="1" applyBorder="1" applyAlignment="1" applyProtection="1">
      <alignment vertical="center"/>
    </xf>
    <xf numFmtId="0" fontId="33" fillId="0" borderId="0" xfId="1" applyFont="1" applyFill="1" applyBorder="1" applyAlignment="1" applyProtection="1">
      <alignment vertical="center"/>
    </xf>
    <xf numFmtId="0" fontId="33" fillId="0" borderId="0" xfId="1" applyFont="1" applyFill="1" applyBorder="1" applyAlignment="1" applyProtection="1">
      <alignment vertical="center" wrapText="1"/>
    </xf>
    <xf numFmtId="0" fontId="33" fillId="0" borderId="52" xfId="1" applyFont="1" applyBorder="1" applyAlignment="1" applyProtection="1">
      <alignment horizontal="center" vertical="center" wrapText="1"/>
    </xf>
    <xf numFmtId="0" fontId="33" fillId="0" borderId="52" xfId="1" applyFont="1" applyBorder="1" applyAlignment="1" applyProtection="1">
      <alignment horizontal="center" vertical="center"/>
    </xf>
    <xf numFmtId="0" fontId="33" fillId="0" borderId="10" xfId="1" applyFont="1" applyBorder="1" applyAlignment="1" applyProtection="1">
      <alignment horizontal="center" vertical="center"/>
    </xf>
    <xf numFmtId="0" fontId="25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33" fillId="0" borderId="0" xfId="1" applyFont="1" applyAlignment="1" applyProtection="1"/>
    <xf numFmtId="0" fontId="22" fillId="0" borderId="0" xfId="0" applyFont="1" applyAlignment="1">
      <alignment horizontal="left" indent="1"/>
    </xf>
    <xf numFmtId="14" fontId="17" fillId="0" borderId="0" xfId="0" applyNumberFormat="1" applyFont="1"/>
    <xf numFmtId="38" fontId="23" fillId="0" borderId="0" xfId="0" applyNumberFormat="1" applyFont="1"/>
    <xf numFmtId="38" fontId="29" fillId="11" borderId="19" xfId="0" applyNumberFormat="1" applyFont="1" applyFill="1" applyBorder="1"/>
    <xf numFmtId="38" fontId="29" fillId="11" borderId="27" xfId="0" applyNumberFormat="1" applyFont="1" applyFill="1" applyBorder="1"/>
    <xf numFmtId="38" fontId="17" fillId="11" borderId="5" xfId="0" applyNumberFormat="1" applyFont="1" applyFill="1" applyBorder="1" applyAlignment="1">
      <alignment horizontal="center"/>
    </xf>
    <xf numFmtId="38" fontId="17" fillId="11" borderId="14" xfId="0" applyNumberFormat="1" applyFont="1" applyFill="1" applyBorder="1" applyAlignment="1">
      <alignment horizontal="center"/>
    </xf>
    <xf numFmtId="38" fontId="17" fillId="11" borderId="21" xfId="0" applyNumberFormat="1" applyFont="1" applyFill="1" applyBorder="1" applyAlignment="1">
      <alignment horizontal="center"/>
    </xf>
    <xf numFmtId="38" fontId="66" fillId="11" borderId="15" xfId="0" applyNumberFormat="1" applyFont="1" applyFill="1" applyBorder="1" applyAlignment="1">
      <alignment horizontal="center"/>
    </xf>
    <xf numFmtId="38" fontId="29" fillId="11" borderId="16" xfId="0" applyNumberFormat="1" applyFont="1" applyFill="1" applyBorder="1" applyAlignment="1">
      <alignment horizontal="center"/>
    </xf>
    <xf numFmtId="38" fontId="17" fillId="11" borderId="0" xfId="0" applyNumberFormat="1" applyFont="1" applyFill="1"/>
    <xf numFmtId="38" fontId="17" fillId="11" borderId="4" xfId="0" applyNumberFormat="1" applyFont="1" applyFill="1" applyBorder="1"/>
    <xf numFmtId="38" fontId="29" fillId="6" borderId="2" xfId="0" applyNumberFormat="1" applyFont="1" applyFill="1" applyBorder="1" applyAlignment="1">
      <alignment horizontal="left"/>
    </xf>
    <xf numFmtId="38" fontId="29" fillId="6" borderId="0" xfId="0" applyNumberFormat="1" applyFont="1" applyFill="1"/>
    <xf numFmtId="38" fontId="29" fillId="6" borderId="4" xfId="0" applyNumberFormat="1" applyFont="1" applyFill="1" applyBorder="1"/>
    <xf numFmtId="38" fontId="17" fillId="0" borderId="2" xfId="0" applyNumberFormat="1" applyFont="1" applyBorder="1" applyAlignment="1">
      <alignment horizontal="left"/>
    </xf>
    <xf numFmtId="38" fontId="17" fillId="0" borderId="0" xfId="0" applyNumberFormat="1" applyFont="1"/>
    <xf numFmtId="38" fontId="17" fillId="0" borderId="4" xfId="0" applyNumberFormat="1" applyFont="1" applyBorder="1"/>
    <xf numFmtId="0" fontId="67" fillId="0" borderId="0" xfId="0" applyFont="1"/>
    <xf numFmtId="38" fontId="17" fillId="0" borderId="2" xfId="0" applyNumberFormat="1" applyFont="1" applyBorder="1"/>
    <xf numFmtId="38" fontId="29" fillId="0" borderId="3" xfId="0" applyNumberFormat="1" applyFont="1" applyBorder="1"/>
    <xf numFmtId="38" fontId="30" fillId="0" borderId="2" xfId="0" applyNumberFormat="1" applyFont="1" applyBorder="1"/>
    <xf numFmtId="0" fontId="24" fillId="0" borderId="1" xfId="10" applyFont="1" applyBorder="1" applyAlignment="1">
      <alignment horizontal="right" wrapText="1"/>
    </xf>
    <xf numFmtId="38" fontId="29" fillId="0" borderId="0" xfId="0" applyNumberFormat="1" applyFont="1"/>
    <xf numFmtId="38" fontId="29" fillId="11" borderId="3" xfId="0" applyNumberFormat="1" applyFont="1" applyFill="1" applyBorder="1" applyAlignment="1">
      <alignment horizontal="left"/>
    </xf>
    <xf numFmtId="38" fontId="68" fillId="0" borderId="2" xfId="0" applyNumberFormat="1" applyFont="1" applyBorder="1"/>
    <xf numFmtId="38" fontId="68" fillId="0" borderId="0" xfId="0" applyNumberFormat="1" applyFont="1"/>
    <xf numFmtId="0" fontId="68" fillId="0" borderId="0" xfId="0" applyFont="1"/>
    <xf numFmtId="9" fontId="17" fillId="0" borderId="0" xfId="11" applyFont="1"/>
    <xf numFmtId="38" fontId="17" fillId="0" borderId="67" xfId="0" applyNumberFormat="1" applyFont="1" applyBorder="1"/>
    <xf numFmtId="38" fontId="17" fillId="0" borderId="11" xfId="0" applyNumberFormat="1" applyFont="1" applyBorder="1"/>
    <xf numFmtId="38" fontId="17" fillId="0" borderId="68" xfId="0" applyNumberFormat="1" applyFont="1" applyBorder="1"/>
    <xf numFmtId="38" fontId="17" fillId="0" borderId="8" xfId="0" applyNumberFormat="1" applyFont="1" applyBorder="1"/>
    <xf numFmtId="38" fontId="17" fillId="0" borderId="12" xfId="0" applyNumberFormat="1" applyFont="1" applyBorder="1"/>
    <xf numFmtId="38" fontId="17" fillId="11" borderId="19" xfId="0" applyNumberFormat="1" applyFont="1" applyFill="1" applyBorder="1"/>
    <xf numFmtId="38" fontId="17" fillId="11" borderId="0" xfId="0" applyNumberFormat="1" applyFont="1" applyFill="1" applyAlignment="1">
      <alignment horizontal="center"/>
    </xf>
    <xf numFmtId="38" fontId="69" fillId="0" borderId="2" xfId="0" applyNumberFormat="1" applyFont="1" applyBorder="1"/>
    <xf numFmtId="38" fontId="30" fillId="0" borderId="0" xfId="0" applyNumberFormat="1" applyFont="1"/>
    <xf numFmtId="38" fontId="17" fillId="0" borderId="7" xfId="0" applyNumberFormat="1" applyFont="1" applyBorder="1"/>
    <xf numFmtId="38" fontId="49" fillId="0" borderId="0" xfId="0" applyNumberFormat="1" applyFont="1"/>
    <xf numFmtId="38" fontId="29" fillId="6" borderId="71" xfId="0" applyNumberFormat="1" applyFont="1" applyFill="1" applyBorder="1"/>
    <xf numFmtId="38" fontId="17" fillId="6" borderId="57" xfId="0" applyNumberFormat="1" applyFont="1" applyFill="1" applyBorder="1" applyAlignment="1">
      <alignment horizontal="center"/>
    </xf>
    <xf numFmtId="38" fontId="17" fillId="6" borderId="0" xfId="0" applyNumberFormat="1" applyFont="1" applyFill="1" applyAlignment="1">
      <alignment horizontal="center"/>
    </xf>
    <xf numFmtId="38" fontId="49" fillId="6" borderId="15" xfId="0" applyNumberFormat="1" applyFont="1" applyFill="1" applyBorder="1" applyAlignment="1">
      <alignment horizontal="center" wrapText="1"/>
    </xf>
    <xf numFmtId="38" fontId="49" fillId="6" borderId="15" xfId="0" applyNumberFormat="1" applyFont="1" applyFill="1" applyBorder="1" applyAlignment="1">
      <alignment horizontal="center"/>
    </xf>
    <xf numFmtId="38" fontId="49" fillId="6" borderId="20" xfId="0" applyNumberFormat="1" applyFont="1" applyFill="1" applyBorder="1" applyAlignment="1">
      <alignment horizontal="center" wrapText="1"/>
    </xf>
    <xf numFmtId="38" fontId="17" fillId="3" borderId="0" xfId="0" applyNumberFormat="1" applyFont="1" applyFill="1"/>
    <xf numFmtId="38" fontId="17" fillId="3" borderId="17" xfId="0" applyNumberFormat="1" applyFont="1" applyFill="1" applyBorder="1"/>
    <xf numFmtId="38" fontId="17" fillId="3" borderId="4" xfId="0" applyNumberFormat="1" applyFont="1" applyFill="1" applyBorder="1"/>
    <xf numFmtId="38" fontId="17" fillId="3" borderId="5" xfId="0" applyNumberFormat="1" applyFont="1" applyFill="1" applyBorder="1"/>
    <xf numFmtId="38" fontId="70" fillId="7" borderId="2" xfId="0" applyNumberFormat="1" applyFont="1" applyFill="1" applyBorder="1" applyAlignment="1">
      <alignment horizontal="left"/>
    </xf>
    <xf numFmtId="38" fontId="29" fillId="7" borderId="0" xfId="0" applyNumberFormat="1" applyFont="1" applyFill="1"/>
    <xf numFmtId="38" fontId="29" fillId="7" borderId="6" xfId="0" applyNumberFormat="1" applyFont="1" applyFill="1" applyBorder="1"/>
    <xf numFmtId="164" fontId="70" fillId="7" borderId="6" xfId="11" applyNumberFormat="1" applyFont="1" applyFill="1" applyBorder="1"/>
    <xf numFmtId="38" fontId="29" fillId="7" borderId="4" xfId="0" applyNumberFormat="1" applyFont="1" applyFill="1" applyBorder="1"/>
    <xf numFmtId="164" fontId="70" fillId="7" borderId="5" xfId="11" applyNumberFormat="1" applyFont="1" applyFill="1" applyBorder="1"/>
    <xf numFmtId="38" fontId="17" fillId="0" borderId="6" xfId="0" applyNumberFormat="1" applyFont="1" applyBorder="1"/>
    <xf numFmtId="164" fontId="49" fillId="0" borderId="6" xfId="11" applyNumberFormat="1" applyFont="1" applyFill="1" applyBorder="1"/>
    <xf numFmtId="164" fontId="49" fillId="0" borderId="5" xfId="11" applyNumberFormat="1" applyFont="1" applyFill="1" applyBorder="1"/>
    <xf numFmtId="38" fontId="17" fillId="0" borderId="5" xfId="0" applyNumberFormat="1" applyFont="1" applyBorder="1"/>
    <xf numFmtId="38" fontId="29" fillId="24" borderId="3" xfId="0" applyNumberFormat="1" applyFont="1" applyFill="1" applyBorder="1" applyAlignment="1">
      <alignment horizontal="left"/>
    </xf>
    <xf numFmtId="38" fontId="17" fillId="3" borderId="6" xfId="0" applyNumberFormat="1" applyFont="1" applyFill="1" applyBorder="1"/>
    <xf numFmtId="164" fontId="49" fillId="0" borderId="57" xfId="11" applyNumberFormat="1" applyFont="1" applyFill="1" applyBorder="1"/>
    <xf numFmtId="38" fontId="68" fillId="2" borderId="2" xfId="0" applyNumberFormat="1" applyFont="1" applyFill="1" applyBorder="1"/>
    <xf numFmtId="38" fontId="68" fillId="2" borderId="0" xfId="0" applyNumberFormat="1" applyFont="1" applyFill="1"/>
    <xf numFmtId="38" fontId="68" fillId="2" borderId="6" xfId="0" applyNumberFormat="1" applyFont="1" applyFill="1" applyBorder="1"/>
    <xf numFmtId="38" fontId="30" fillId="0" borderId="4" xfId="0" applyNumberFormat="1" applyFont="1" applyBorder="1"/>
    <xf numFmtId="0" fontId="17" fillId="2" borderId="0" xfId="0" applyFont="1" applyFill="1"/>
    <xf numFmtId="38" fontId="17" fillId="2" borderId="2" xfId="0" applyNumberFormat="1" applyFont="1" applyFill="1" applyBorder="1"/>
    <xf numFmtId="38" fontId="17" fillId="2" borderId="0" xfId="0" applyNumberFormat="1" applyFont="1" applyFill="1"/>
    <xf numFmtId="38" fontId="17" fillId="2" borderId="6" xfId="0" applyNumberFormat="1" applyFont="1" applyFill="1" applyBorder="1"/>
    <xf numFmtId="38" fontId="17" fillId="2" borderId="4" xfId="0" applyNumberFormat="1" applyFont="1" applyFill="1" applyBorder="1"/>
    <xf numFmtId="38" fontId="17" fillId="0" borderId="27" xfId="0" applyNumberFormat="1" applyFont="1" applyBorder="1"/>
    <xf numFmtId="164" fontId="49" fillId="0" borderId="27" xfId="11" applyNumberFormat="1" applyFont="1" applyFill="1" applyBorder="1"/>
    <xf numFmtId="164" fontId="49" fillId="0" borderId="21" xfId="11" applyNumberFormat="1" applyFont="1" applyFill="1" applyBorder="1"/>
    <xf numFmtId="38" fontId="22" fillId="0" borderId="0" xfId="0" applyNumberFormat="1" applyFont="1"/>
    <xf numFmtId="38" fontId="17" fillId="0" borderId="0" xfId="0" applyNumberFormat="1" applyFont="1" applyAlignment="1">
      <alignment horizontal="right"/>
    </xf>
    <xf numFmtId="38" fontId="17" fillId="0" borderId="18" xfId="0" applyNumberFormat="1" applyFont="1" applyBorder="1" applyAlignment="1">
      <alignment horizontal="right"/>
    </xf>
    <xf numFmtId="38" fontId="17" fillId="0" borderId="57" xfId="0" applyNumberFormat="1" applyFont="1" applyBorder="1" applyAlignment="1">
      <alignment horizontal="right"/>
    </xf>
    <xf numFmtId="38" fontId="17" fillId="0" borderId="9" xfId="0" applyNumberFormat="1" applyFont="1" applyBorder="1"/>
    <xf numFmtId="38" fontId="17" fillId="0" borderId="10" xfId="0" applyNumberFormat="1" applyFont="1" applyBorder="1"/>
    <xf numFmtId="38" fontId="17" fillId="0" borderId="13" xfId="0" applyNumberFormat="1" applyFont="1" applyBorder="1"/>
    <xf numFmtId="0" fontId="25" fillId="0" borderId="0" xfId="0" applyFont="1" applyAlignment="1">
      <alignment horizontal="left" indent="3"/>
    </xf>
    <xf numFmtId="0" fontId="49" fillId="0" borderId="0" xfId="0" applyFont="1"/>
    <xf numFmtId="0" fontId="23" fillId="0" borderId="0" xfId="0" applyFont="1" applyAlignment="1">
      <alignment horizontal="left" indent="3"/>
    </xf>
    <xf numFmtId="0" fontId="22" fillId="0" borderId="0" xfId="0" applyFont="1" applyAlignment="1">
      <alignment horizontal="left" indent="3"/>
    </xf>
    <xf numFmtId="49" fontId="42" fillId="17" borderId="37" xfId="0" applyNumberFormat="1" applyFont="1" applyFill="1" applyBorder="1" applyAlignment="1">
      <alignment horizontal="center"/>
    </xf>
    <xf numFmtId="49" fontId="42" fillId="17" borderId="37" xfId="0" applyNumberFormat="1" applyFont="1" applyFill="1" applyBorder="1" applyAlignment="1">
      <alignment horizontal="left"/>
    </xf>
    <xf numFmtId="0" fontId="42" fillId="17" borderId="37" xfId="0" applyFont="1" applyFill="1" applyBorder="1" applyAlignment="1">
      <alignment horizontal="center"/>
    </xf>
    <xf numFmtId="166" fontId="42" fillId="17" borderId="37" xfId="0" applyNumberFormat="1" applyFont="1" applyFill="1" applyBorder="1" applyAlignment="1">
      <alignment horizontal="center"/>
    </xf>
    <xf numFmtId="0" fontId="42" fillId="18" borderId="0" xfId="0" applyFont="1" applyFill="1" applyAlignment="1">
      <alignment horizontal="center" vertical="center"/>
    </xf>
    <xf numFmtId="166" fontId="42" fillId="18" borderId="0" xfId="16" applyNumberFormat="1" applyFont="1" applyFill="1" applyAlignment="1">
      <alignment horizontal="center" vertical="center"/>
    </xf>
    <xf numFmtId="0" fontId="71" fillId="20" borderId="40" xfId="0" applyFont="1" applyFill="1" applyBorder="1" applyAlignment="1">
      <alignment horizontal="center" vertical="center"/>
    </xf>
    <xf numFmtId="166" fontId="71" fillId="20" borderId="40" xfId="16" applyNumberFormat="1" applyFont="1" applyFill="1" applyBorder="1" applyAlignment="1">
      <alignment horizontal="center" vertical="center"/>
    </xf>
    <xf numFmtId="0" fontId="71" fillId="20" borderId="40" xfId="16" applyFont="1" applyFill="1" applyBorder="1" applyAlignment="1">
      <alignment horizontal="center" vertical="center"/>
    </xf>
    <xf numFmtId="0" fontId="72" fillId="17" borderId="0" xfId="0" applyFont="1" applyFill="1" applyAlignment="1">
      <alignment horizontal="left"/>
    </xf>
    <xf numFmtId="49" fontId="42" fillId="17" borderId="37" xfId="16" applyNumberFormat="1" applyFont="1" applyFill="1" applyBorder="1" applyAlignment="1">
      <alignment horizontal="left" wrapText="1"/>
    </xf>
    <xf numFmtId="49" fontId="42" fillId="17" borderId="37" xfId="16" applyNumberFormat="1" applyFont="1" applyFill="1" applyBorder="1" applyAlignment="1">
      <alignment horizontal="center"/>
    </xf>
    <xf numFmtId="49" fontId="42" fillId="0" borderId="37" xfId="0" applyNumberFormat="1" applyFont="1" applyBorder="1" applyAlignment="1">
      <alignment horizontal="left"/>
    </xf>
    <xf numFmtId="0" fontId="71" fillId="19" borderId="42" xfId="0" applyFont="1" applyFill="1" applyBorder="1" applyAlignment="1">
      <alignment horizontal="center" vertical="center"/>
    </xf>
    <xf numFmtId="164" fontId="71" fillId="19" borderId="42" xfId="11" applyNumberFormat="1" applyFont="1" applyFill="1" applyBorder="1" applyAlignment="1">
      <alignment horizontal="center" vertical="center"/>
    </xf>
    <xf numFmtId="0" fontId="71" fillId="19" borderId="42" xfId="0" applyFont="1" applyFill="1" applyBorder="1" applyAlignment="1">
      <alignment horizontal="center"/>
    </xf>
    <xf numFmtId="164" fontId="71" fillId="19" borderId="42" xfId="0" applyNumberFormat="1" applyFont="1" applyFill="1" applyBorder="1" applyAlignment="1">
      <alignment horizontal="center"/>
    </xf>
    <xf numFmtId="9" fontId="17" fillId="0" borderId="0" xfId="0" applyNumberFormat="1" applyFont="1"/>
    <xf numFmtId="0" fontId="49" fillId="6" borderId="15" xfId="0" applyFont="1" applyFill="1" applyBorder="1" applyAlignment="1">
      <alignment horizontal="center" vertical="center" textRotation="90"/>
    </xf>
    <xf numFmtId="0" fontId="42" fillId="17" borderId="41" xfId="0" applyFont="1" applyFill="1" applyBorder="1" applyAlignment="1">
      <alignment horizontal="center"/>
    </xf>
    <xf numFmtId="0" fontId="18" fillId="0" borderId="62" xfId="0" applyFont="1" applyBorder="1" applyAlignment="1">
      <alignment horizontal="center"/>
    </xf>
    <xf numFmtId="0" fontId="17" fillId="0" borderId="62" xfId="0" applyFont="1" applyBorder="1"/>
    <xf numFmtId="0" fontId="20" fillId="12" borderId="75" xfId="12" applyFont="1" applyFill="1" applyBorder="1" applyAlignment="1">
      <alignment horizontal="center" vertical="center" wrapText="1"/>
    </xf>
    <xf numFmtId="0" fontId="20" fillId="12" borderId="76" xfId="12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indent="3"/>
    </xf>
    <xf numFmtId="0" fontId="17" fillId="0" borderId="0" xfId="0" applyFont="1" applyAlignment="1">
      <alignment vertical="center"/>
    </xf>
    <xf numFmtId="49" fontId="41" fillId="18" borderId="0" xfId="0" applyNumberFormat="1" applyFont="1" applyFill="1" applyAlignment="1">
      <alignment horizontal="right" vertical="center"/>
    </xf>
    <xf numFmtId="49" fontId="43" fillId="20" borderId="40" xfId="0" applyNumberFormat="1" applyFont="1" applyFill="1" applyBorder="1" applyAlignment="1">
      <alignment horizontal="right" vertical="center"/>
    </xf>
    <xf numFmtId="49" fontId="41" fillId="18" borderId="61" xfId="0" applyNumberFormat="1" applyFont="1" applyFill="1" applyBorder="1" applyAlignment="1">
      <alignment horizontal="right" vertical="center"/>
    </xf>
    <xf numFmtId="0" fontId="42" fillId="18" borderId="61" xfId="0" applyFont="1" applyFill="1" applyBorder="1" applyAlignment="1">
      <alignment horizontal="center" vertical="center"/>
    </xf>
    <xf numFmtId="166" fontId="42" fillId="18" borderId="61" xfId="16" applyNumberFormat="1" applyFont="1" applyFill="1" applyBorder="1" applyAlignment="1">
      <alignment horizontal="center" vertical="center"/>
    </xf>
    <xf numFmtId="0" fontId="42" fillId="17" borderId="51" xfId="0" applyFont="1" applyFill="1" applyBorder="1" applyAlignment="1">
      <alignment horizontal="center"/>
    </xf>
    <xf numFmtId="166" fontId="42" fillId="17" borderId="51" xfId="0" applyNumberFormat="1" applyFont="1" applyFill="1" applyBorder="1" applyAlignment="1">
      <alignment horizontal="center"/>
    </xf>
    <xf numFmtId="49" fontId="42" fillId="17" borderId="65" xfId="16" applyNumberFormat="1" applyFont="1" applyFill="1" applyBorder="1" applyAlignment="1">
      <alignment horizontal="left" wrapText="1"/>
    </xf>
    <xf numFmtId="49" fontId="42" fillId="17" borderId="65" xfId="16" applyNumberFormat="1" applyFont="1" applyFill="1" applyBorder="1" applyAlignment="1">
      <alignment horizontal="center"/>
    </xf>
    <xf numFmtId="49" fontId="42" fillId="17" borderId="51" xfId="16" applyNumberFormat="1" applyFont="1" applyFill="1" applyBorder="1" applyAlignment="1">
      <alignment horizontal="left" wrapText="1"/>
    </xf>
    <xf numFmtId="49" fontId="42" fillId="17" borderId="51" xfId="16" applyNumberFormat="1" applyFont="1" applyFill="1" applyBorder="1" applyAlignment="1">
      <alignment horizontal="center"/>
    </xf>
    <xf numFmtId="0" fontId="42" fillId="17" borderId="7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6" fontId="42" fillId="17" borderId="41" xfId="0" applyNumberFormat="1" applyFont="1" applyFill="1" applyBorder="1" applyAlignment="1">
      <alignment horizontal="center"/>
    </xf>
    <xf numFmtId="49" fontId="43" fillId="19" borderId="42" xfId="0" applyNumberFormat="1" applyFont="1" applyFill="1" applyBorder="1" applyAlignment="1">
      <alignment horizontal="right" vertical="center"/>
    </xf>
    <xf numFmtId="49" fontId="43" fillId="19" borderId="42" xfId="0" applyNumberFormat="1" applyFont="1" applyFill="1" applyBorder="1" applyAlignment="1">
      <alignment horizontal="left"/>
    </xf>
    <xf numFmtId="0" fontId="25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73" fillId="17" borderId="0" xfId="14" applyFont="1" applyFill="1" applyAlignment="1">
      <alignment horizontal="left"/>
    </xf>
    <xf numFmtId="49" fontId="41" fillId="16" borderId="37" xfId="14" applyNumberFormat="1" applyFont="1" applyFill="1" applyBorder="1" applyAlignment="1">
      <alignment horizontal="center"/>
    </xf>
    <xf numFmtId="49" fontId="41" fillId="16" borderId="37" xfId="14" applyNumberFormat="1" applyFont="1" applyFill="1" applyBorder="1" applyAlignment="1">
      <alignment horizontal="center" vertical="center" wrapText="1"/>
    </xf>
    <xf numFmtId="164" fontId="42" fillId="17" borderId="37" xfId="11" applyNumberFormat="1" applyFont="1" applyFill="1" applyBorder="1" applyAlignment="1">
      <alignment horizontal="center"/>
    </xf>
    <xf numFmtId="0" fontId="45" fillId="0" borderId="0" xfId="14" applyFont="1"/>
    <xf numFmtId="0" fontId="42" fillId="17" borderId="37" xfId="14" applyFont="1" applyFill="1" applyBorder="1" applyAlignment="1">
      <alignment horizontal="center"/>
    </xf>
    <xf numFmtId="0" fontId="71" fillId="29" borderId="42" xfId="0" applyFont="1" applyFill="1" applyBorder="1" applyAlignment="1">
      <alignment horizontal="center" vertical="center"/>
    </xf>
    <xf numFmtId="164" fontId="71" fillId="29" borderId="42" xfId="11" applyNumberFormat="1" applyFont="1" applyFill="1" applyBorder="1" applyAlignment="1">
      <alignment horizontal="center"/>
    </xf>
    <xf numFmtId="49" fontId="42" fillId="17" borderId="37" xfId="14" applyNumberFormat="1" applyFont="1" applyFill="1" applyBorder="1" applyAlignment="1">
      <alignment horizontal="left"/>
    </xf>
    <xf numFmtId="164" fontId="71" fillId="19" borderId="42" xfId="11" applyNumberFormat="1" applyFont="1" applyFill="1" applyBorder="1" applyAlignment="1">
      <alignment horizontal="center"/>
    </xf>
    <xf numFmtId="49" fontId="41" fillId="16" borderId="70" xfId="14" applyNumberFormat="1" applyFont="1" applyFill="1" applyBorder="1" applyAlignment="1">
      <alignment horizontal="center" vertical="center" wrapText="1"/>
    </xf>
    <xf numFmtId="0" fontId="42" fillId="0" borderId="62" xfId="14" applyFont="1" applyBorder="1" applyAlignment="1">
      <alignment horizontal="center"/>
    </xf>
    <xf numFmtId="0" fontId="45" fillId="0" borderId="62" xfId="14" applyFont="1" applyBorder="1"/>
    <xf numFmtId="0" fontId="42" fillId="17" borderId="41" xfId="14" applyFont="1" applyFill="1" applyBorder="1" applyAlignment="1">
      <alignment horizontal="center"/>
    </xf>
    <xf numFmtId="0" fontId="71" fillId="29" borderId="0" xfId="0" applyFont="1" applyFill="1" applyAlignment="1">
      <alignment horizontal="center" vertical="center"/>
    </xf>
    <xf numFmtId="0" fontId="71" fillId="29" borderId="47" xfId="0" applyFont="1" applyFill="1" applyBorder="1" applyAlignment="1">
      <alignment horizontal="center" vertical="center"/>
    </xf>
    <xf numFmtId="0" fontId="71" fillId="29" borderId="40" xfId="0" applyFont="1" applyFill="1" applyBorder="1" applyAlignment="1">
      <alignment horizontal="center" vertical="center"/>
    </xf>
    <xf numFmtId="0" fontId="24" fillId="28" borderId="29" xfId="11" applyNumberFormat="1" applyFont="1" applyFill="1" applyBorder="1" applyAlignment="1">
      <alignment horizontal="center"/>
    </xf>
    <xf numFmtId="38" fontId="49" fillId="0" borderId="2" xfId="0" applyNumberFormat="1" applyFont="1" applyBorder="1" applyAlignment="1">
      <alignment horizontal="left"/>
    </xf>
    <xf numFmtId="0" fontId="19" fillId="13" borderId="79" xfId="0" applyFont="1" applyFill="1" applyBorder="1" applyAlignment="1">
      <alignment vertical="center"/>
    </xf>
    <xf numFmtId="49" fontId="41" fillId="0" borderId="41" xfId="0" applyNumberFormat="1" applyFont="1" applyBorder="1" applyAlignment="1">
      <alignment horizontal="right" vertical="center"/>
    </xf>
    <xf numFmtId="49" fontId="41" fillId="0" borderId="42" xfId="0" applyNumberFormat="1" applyFont="1" applyBorder="1" applyAlignment="1">
      <alignment horizontal="right" vertical="center"/>
    </xf>
    <xf numFmtId="49" fontId="41" fillId="0" borderId="0" xfId="0" applyNumberFormat="1" applyFont="1" applyAlignment="1">
      <alignment horizontal="right" vertical="center"/>
    </xf>
    <xf numFmtId="0" fontId="42" fillId="0" borderId="47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166" fontId="42" fillId="0" borderId="0" xfId="16" applyNumberFormat="1" applyFont="1" applyAlignment="1">
      <alignment horizontal="center" vertical="center"/>
    </xf>
    <xf numFmtId="0" fontId="42" fillId="17" borderId="62" xfId="0" applyFont="1" applyFill="1" applyBorder="1" applyAlignment="1">
      <alignment horizontal="center"/>
    </xf>
    <xf numFmtId="166" fontId="42" fillId="17" borderId="62" xfId="0" applyNumberFormat="1" applyFont="1" applyFill="1" applyBorder="1" applyAlignment="1">
      <alignment horizontal="center"/>
    </xf>
    <xf numFmtId="49" fontId="42" fillId="17" borderId="41" xfId="0" applyNumberFormat="1" applyFont="1" applyFill="1" applyBorder="1" applyAlignment="1">
      <alignment horizontal="left"/>
    </xf>
    <xf numFmtId="9" fontId="17" fillId="0" borderId="66" xfId="11" applyFont="1" applyBorder="1" applyAlignment="1">
      <alignment horizontal="center"/>
    </xf>
    <xf numFmtId="0" fontId="17" fillId="0" borderId="66" xfId="0" applyFont="1" applyBorder="1" applyAlignment="1">
      <alignment horizontal="left"/>
    </xf>
    <xf numFmtId="0" fontId="17" fillId="0" borderId="69" xfId="0" applyFont="1" applyBorder="1" applyAlignment="1">
      <alignment horizontal="center" wrapText="1"/>
    </xf>
    <xf numFmtId="0" fontId="17" fillId="0" borderId="69" xfId="0" applyFont="1" applyBorder="1" applyAlignment="1">
      <alignment wrapText="1"/>
    </xf>
    <xf numFmtId="0" fontId="17" fillId="0" borderId="69" xfId="0" applyFont="1" applyBorder="1" applyAlignment="1">
      <alignment horizontal="center"/>
    </xf>
    <xf numFmtId="9" fontId="17" fillId="0" borderId="69" xfId="11" applyFont="1" applyBorder="1" applyAlignment="1">
      <alignment horizontal="center"/>
    </xf>
    <xf numFmtId="0" fontId="17" fillId="0" borderId="11" xfId="0" applyFont="1" applyBorder="1" applyAlignment="1">
      <alignment horizontal="center" wrapText="1"/>
    </xf>
    <xf numFmtId="0" fontId="17" fillId="0" borderId="11" xfId="0" applyFont="1" applyBorder="1" applyAlignment="1">
      <alignment wrapText="1"/>
    </xf>
    <xf numFmtId="0" fontId="17" fillId="0" borderId="11" xfId="0" applyFont="1" applyBorder="1" applyAlignment="1">
      <alignment horizontal="center"/>
    </xf>
    <xf numFmtId="9" fontId="17" fillId="0" borderId="11" xfId="11" applyFont="1" applyBorder="1" applyAlignment="1">
      <alignment horizontal="center"/>
    </xf>
    <xf numFmtId="0" fontId="41" fillId="0" borderId="0" xfId="0" applyFont="1" applyAlignment="1">
      <alignment horizontal="left" wrapText="1"/>
    </xf>
    <xf numFmtId="0" fontId="42" fillId="0" borderId="0" xfId="0" applyFont="1" applyAlignment="1">
      <alignment horizontal="left" wrapText="1"/>
    </xf>
    <xf numFmtId="3" fontId="41" fillId="0" borderId="0" xfId="0" applyNumberFormat="1" applyFont="1" applyAlignment="1">
      <alignment horizontal="center" wrapText="1"/>
    </xf>
    <xf numFmtId="174" fontId="45" fillId="17" borderId="45" xfId="12" applyNumberFormat="1" applyFont="1" applyFill="1" applyBorder="1" applyAlignment="1">
      <alignment horizontal="right"/>
    </xf>
    <xf numFmtId="38" fontId="29" fillId="11" borderId="3" xfId="0" applyNumberFormat="1" applyFont="1" applyFill="1" applyBorder="1" applyAlignment="1">
      <alignment horizontal="center"/>
    </xf>
    <xf numFmtId="38" fontId="17" fillId="0" borderId="67" xfId="0" applyNumberFormat="1" applyFont="1" applyBorder="1" applyAlignment="1">
      <alignment horizontal="left"/>
    </xf>
    <xf numFmtId="0" fontId="64" fillId="12" borderId="75" xfId="12" applyFont="1" applyFill="1" applyBorder="1" applyAlignment="1">
      <alignment horizontal="center" textRotation="90" wrapText="1"/>
    </xf>
    <xf numFmtId="0" fontId="17" fillId="6" borderId="21" xfId="0" applyFont="1" applyFill="1" applyBorder="1" applyAlignment="1">
      <alignment horizontal="center" textRotation="90" wrapText="1"/>
    </xf>
    <xf numFmtId="168" fontId="41" fillId="26" borderId="66" xfId="0" applyNumberFormat="1" applyFont="1" applyFill="1" applyBorder="1" applyAlignment="1">
      <alignment horizontal="center"/>
    </xf>
    <xf numFmtId="0" fontId="41" fillId="22" borderId="66" xfId="0" applyFont="1" applyFill="1" applyBorder="1" applyAlignment="1">
      <alignment horizontal="left" vertical="center"/>
    </xf>
    <xf numFmtId="0" fontId="41" fillId="22" borderId="66" xfId="0" applyFont="1" applyFill="1" applyBorder="1" applyAlignment="1">
      <alignment horizontal="left"/>
    </xf>
    <xf numFmtId="3" fontId="41" fillId="22" borderId="66" xfId="0" applyNumberFormat="1" applyFont="1" applyFill="1" applyBorder="1" applyAlignment="1">
      <alignment horizontal="center" vertical="center"/>
    </xf>
    <xf numFmtId="168" fontId="41" fillId="22" borderId="66" xfId="0" applyNumberFormat="1" applyFont="1" applyFill="1" applyBorder="1" applyAlignment="1">
      <alignment horizontal="center" vertical="center"/>
    </xf>
    <xf numFmtId="167" fontId="41" fillId="22" borderId="66" xfId="0" applyNumberFormat="1" applyFont="1" applyFill="1" applyBorder="1" applyAlignment="1">
      <alignment horizontal="center" vertical="center"/>
    </xf>
    <xf numFmtId="49" fontId="41" fillId="17" borderId="80" xfId="0" applyNumberFormat="1" applyFont="1" applyFill="1" applyBorder="1" applyAlignment="1">
      <alignment horizontal="left"/>
    </xf>
    <xf numFmtId="49" fontId="41" fillId="17" borderId="80" xfId="0" applyNumberFormat="1" applyFont="1" applyFill="1" applyBorder="1" applyAlignment="1">
      <alignment horizontal="left" wrapText="1"/>
    </xf>
    <xf numFmtId="49" fontId="41" fillId="17" borderId="80" xfId="0" applyNumberFormat="1" applyFont="1" applyFill="1" applyBorder="1" applyAlignment="1">
      <alignment wrapText="1"/>
    </xf>
    <xf numFmtId="3" fontId="41" fillId="17" borderId="80" xfId="0" applyNumberFormat="1" applyFont="1" applyFill="1" applyBorder="1" applyAlignment="1">
      <alignment horizontal="center"/>
    </xf>
    <xf numFmtId="167" fontId="41" fillId="17" borderId="80" xfId="0" applyNumberFormat="1" applyFont="1" applyFill="1" applyBorder="1" applyAlignment="1">
      <alignment horizontal="center"/>
    </xf>
    <xf numFmtId="168" fontId="41" fillId="17" borderId="80" xfId="0" applyNumberFormat="1" applyFont="1" applyFill="1" applyBorder="1" applyAlignment="1">
      <alignment horizontal="center"/>
    </xf>
    <xf numFmtId="49" fontId="42" fillId="17" borderId="70" xfId="0" applyNumberFormat="1" applyFont="1" applyFill="1" applyBorder="1" applyAlignment="1">
      <alignment horizontal="left"/>
    </xf>
    <xf numFmtId="49" fontId="42" fillId="17" borderId="70" xfId="14" applyNumberFormat="1" applyFont="1" applyFill="1" applyBorder="1" applyAlignment="1">
      <alignment horizontal="left"/>
    </xf>
    <xf numFmtId="0" fontId="42" fillId="17" borderId="70" xfId="14" applyFont="1" applyFill="1" applyBorder="1" applyAlignment="1">
      <alignment horizontal="center"/>
    </xf>
    <xf numFmtId="164" fontId="42" fillId="17" borderId="70" xfId="11" applyNumberFormat="1" applyFont="1" applyFill="1" applyBorder="1" applyAlignment="1">
      <alignment horizontal="center"/>
    </xf>
    <xf numFmtId="49" fontId="42" fillId="17" borderId="51" xfId="0" applyNumberFormat="1" applyFont="1" applyFill="1" applyBorder="1" applyAlignment="1">
      <alignment horizontal="left"/>
    </xf>
    <xf numFmtId="164" fontId="42" fillId="17" borderId="51" xfId="11" applyNumberFormat="1" applyFont="1" applyFill="1" applyBorder="1" applyAlignment="1">
      <alignment horizontal="center"/>
    </xf>
    <xf numFmtId="0" fontId="71" fillId="29" borderId="66" xfId="0" applyFont="1" applyFill="1" applyBorder="1" applyAlignment="1">
      <alignment horizontal="center" vertical="center"/>
    </xf>
    <xf numFmtId="164" fontId="71" fillId="29" borderId="66" xfId="11" applyNumberFormat="1" applyFont="1" applyFill="1" applyBorder="1" applyAlignment="1">
      <alignment horizontal="center"/>
    </xf>
    <xf numFmtId="0" fontId="42" fillId="17" borderId="39" xfId="0" applyFont="1" applyFill="1" applyBorder="1" applyAlignment="1">
      <alignment horizontal="center"/>
    </xf>
    <xf numFmtId="0" fontId="42" fillId="0" borderId="21" xfId="14" applyFont="1" applyBorder="1" applyAlignment="1">
      <alignment horizontal="center"/>
    </xf>
    <xf numFmtId="0" fontId="17" fillId="6" borderId="78" xfId="0" applyFont="1" applyFill="1" applyBorder="1" applyAlignment="1">
      <alignment wrapText="1"/>
    </xf>
    <xf numFmtId="0" fontId="17" fillId="6" borderId="14" xfId="0" applyFont="1" applyFill="1" applyBorder="1" applyAlignment="1">
      <alignment wrapText="1"/>
    </xf>
    <xf numFmtId="49" fontId="41" fillId="30" borderId="0" xfId="0" applyNumberFormat="1" applyFont="1" applyFill="1" applyAlignment="1">
      <alignment horizontal="right" vertical="center"/>
    </xf>
    <xf numFmtId="0" fontId="42" fillId="30" borderId="47" xfId="0" applyFont="1" applyFill="1" applyBorder="1" applyAlignment="1">
      <alignment horizontal="center" vertical="center"/>
    </xf>
    <xf numFmtId="0" fontId="42" fillId="30" borderId="0" xfId="0" applyFont="1" applyFill="1" applyAlignment="1">
      <alignment horizontal="center" vertical="center"/>
    </xf>
    <xf numFmtId="166" fontId="42" fillId="30" borderId="0" xfId="16" applyNumberFormat="1" applyFont="1" applyFill="1" applyAlignment="1">
      <alignment horizontal="center" vertical="center"/>
    </xf>
    <xf numFmtId="0" fontId="17" fillId="31" borderId="0" xfId="0" applyFont="1" applyFill="1"/>
    <xf numFmtId="0" fontId="42" fillId="17" borderId="44" xfId="0" applyFont="1" applyFill="1" applyBorder="1" applyAlignment="1">
      <alignment horizontal="center"/>
    </xf>
    <xf numFmtId="49" fontId="41" fillId="30" borderId="46" xfId="0" applyNumberFormat="1" applyFont="1" applyFill="1" applyBorder="1" applyAlignment="1">
      <alignment horizontal="right" vertical="center"/>
    </xf>
    <xf numFmtId="49" fontId="41" fillId="30" borderId="47" xfId="0" applyNumberFormat="1" applyFont="1" applyFill="1" applyBorder="1" applyAlignment="1">
      <alignment horizontal="right" vertical="center"/>
    </xf>
    <xf numFmtId="49" fontId="42" fillId="17" borderId="62" xfId="0" applyNumberFormat="1" applyFont="1" applyFill="1" applyBorder="1" applyAlignment="1">
      <alignment horizontal="left" wrapText="1"/>
    </xf>
    <xf numFmtId="49" fontId="42" fillId="17" borderId="62" xfId="16" applyNumberFormat="1" applyFont="1" applyFill="1" applyBorder="1" applyAlignment="1">
      <alignment horizontal="left" wrapText="1"/>
    </xf>
    <xf numFmtId="49" fontId="42" fillId="17" borderId="62" xfId="16" applyNumberFormat="1" applyFont="1" applyFill="1" applyBorder="1" applyAlignment="1">
      <alignment horizontal="center"/>
    </xf>
    <xf numFmtId="49" fontId="42" fillId="17" borderId="62" xfId="0" applyNumberFormat="1" applyFont="1" applyFill="1" applyBorder="1" applyAlignment="1">
      <alignment horizontal="left"/>
    </xf>
    <xf numFmtId="49" fontId="42" fillId="17" borderId="80" xfId="0" applyNumberFormat="1" applyFont="1" applyFill="1" applyBorder="1" applyAlignment="1">
      <alignment horizontal="left" wrapText="1"/>
    </xf>
    <xf numFmtId="49" fontId="42" fillId="17" borderId="80" xfId="16" applyNumberFormat="1" applyFont="1" applyFill="1" applyBorder="1" applyAlignment="1">
      <alignment horizontal="left" wrapText="1"/>
    </xf>
    <xf numFmtId="49" fontId="42" fillId="17" borderId="80" xfId="16" applyNumberFormat="1" applyFont="1" applyFill="1" applyBorder="1" applyAlignment="1">
      <alignment horizontal="center"/>
    </xf>
    <xf numFmtId="49" fontId="42" fillId="17" borderId="80" xfId="0" applyNumberFormat="1" applyFont="1" applyFill="1" applyBorder="1" applyAlignment="1">
      <alignment horizontal="left"/>
    </xf>
    <xf numFmtId="49" fontId="42" fillId="17" borderId="70" xfId="16" applyNumberFormat="1" applyFont="1" applyFill="1" applyBorder="1" applyAlignment="1">
      <alignment horizontal="left" wrapText="1"/>
    </xf>
    <xf numFmtId="49" fontId="42" fillId="17" borderId="70" xfId="16" applyNumberFormat="1" applyFont="1" applyFill="1" applyBorder="1" applyAlignment="1">
      <alignment horizontal="center"/>
    </xf>
    <xf numFmtId="0" fontId="41" fillId="0" borderId="21" xfId="0" applyFont="1" applyBorder="1" applyAlignment="1">
      <alignment horizontal="left" vertical="center"/>
    </xf>
    <xf numFmtId="0" fontId="41" fillId="0" borderId="21" xfId="0" applyFont="1" applyBorder="1" applyAlignment="1">
      <alignment horizontal="left"/>
    </xf>
    <xf numFmtId="3" fontId="41" fillId="0" borderId="21" xfId="0" applyNumberFormat="1" applyFont="1" applyBorder="1" applyAlignment="1">
      <alignment horizontal="center" vertical="center"/>
    </xf>
    <xf numFmtId="49" fontId="43" fillId="20" borderId="11" xfId="0" applyNumberFormat="1" applyFont="1" applyFill="1" applyBorder="1" applyAlignment="1">
      <alignment horizontal="right" vertical="center"/>
    </xf>
    <xf numFmtId="0" fontId="71" fillId="20" borderId="11" xfId="0" applyFont="1" applyFill="1" applyBorder="1" applyAlignment="1">
      <alignment horizontal="center" vertical="center"/>
    </xf>
    <xf numFmtId="166" fontId="71" fillId="20" borderId="11" xfId="16" applyNumberFormat="1" applyFont="1" applyFill="1" applyBorder="1" applyAlignment="1">
      <alignment horizontal="center" vertical="center"/>
    </xf>
    <xf numFmtId="0" fontId="71" fillId="20" borderId="11" xfId="16" applyFont="1" applyFill="1" applyBorder="1" applyAlignment="1">
      <alignment horizontal="center" vertical="center"/>
    </xf>
    <xf numFmtId="0" fontId="42" fillId="17" borderId="82" xfId="0" applyFont="1" applyFill="1" applyBorder="1" applyAlignment="1">
      <alignment horizontal="center"/>
    </xf>
    <xf numFmtId="49" fontId="42" fillId="17" borderId="51" xfId="0" applyNumberFormat="1" applyFont="1" applyFill="1" applyBorder="1" applyAlignment="1">
      <alignment horizontal="center"/>
    </xf>
    <xf numFmtId="0" fontId="55" fillId="6" borderId="69" xfId="0" applyFont="1" applyFill="1" applyBorder="1" applyAlignment="1">
      <alignment horizontal="center"/>
    </xf>
    <xf numFmtId="0" fontId="55" fillId="6" borderId="73" xfId="0" applyFont="1" applyFill="1" applyBorder="1" applyAlignment="1">
      <alignment horizontal="center"/>
    </xf>
    <xf numFmtId="0" fontId="54" fillId="0" borderId="0" xfId="0" applyFont="1" applyAlignment="1">
      <alignment horizontal="center" wrapText="1"/>
    </xf>
    <xf numFmtId="0" fontId="33" fillId="0" borderId="0" xfId="1" applyFont="1" applyFill="1" applyBorder="1" applyAlignment="1" applyProtection="1">
      <alignment horizontal="left" vertical="center"/>
    </xf>
    <xf numFmtId="0" fontId="33" fillId="0" borderId="11" xfId="1" applyFont="1" applyFill="1" applyBorder="1" applyAlignment="1" applyProtection="1">
      <alignment horizontal="left" vertical="center"/>
    </xf>
    <xf numFmtId="38" fontId="23" fillId="0" borderId="0" xfId="0" applyNumberFormat="1" applyFont="1" applyAlignment="1">
      <alignment horizontal="center"/>
    </xf>
    <xf numFmtId="38" fontId="17" fillId="11" borderId="15" xfId="0" applyNumberFormat="1" applyFont="1" applyFill="1" applyBorder="1" applyAlignment="1">
      <alignment horizontal="center"/>
    </xf>
    <xf numFmtId="38" fontId="17" fillId="11" borderId="15" xfId="0" applyNumberFormat="1" applyFont="1" applyFill="1" applyBorder="1" applyAlignment="1">
      <alignment horizontal="center" shrinkToFit="1"/>
    </xf>
    <xf numFmtId="38" fontId="65" fillId="7" borderId="34" xfId="0" applyNumberFormat="1" applyFont="1" applyFill="1" applyBorder="1" applyAlignment="1">
      <alignment horizontal="center"/>
    </xf>
    <xf numFmtId="0" fontId="17" fillId="7" borderId="35" xfId="0" applyFont="1" applyFill="1" applyBorder="1"/>
    <xf numFmtId="0" fontId="17" fillId="7" borderId="36" xfId="0" applyFont="1" applyFill="1" applyBorder="1"/>
    <xf numFmtId="38" fontId="17" fillId="11" borderId="21" xfId="0" applyNumberFormat="1" applyFont="1" applyFill="1" applyBorder="1" applyAlignment="1">
      <alignment horizontal="center"/>
    </xf>
    <xf numFmtId="38" fontId="65" fillId="7" borderId="22" xfId="0" applyNumberFormat="1" applyFont="1" applyFill="1" applyBorder="1" applyAlignment="1">
      <alignment horizontal="center"/>
    </xf>
    <xf numFmtId="0" fontId="17" fillId="7" borderId="23" xfId="0" applyFont="1" applyFill="1" applyBorder="1"/>
    <xf numFmtId="0" fontId="17" fillId="7" borderId="24" xfId="0" applyFont="1" applyFill="1" applyBorder="1"/>
    <xf numFmtId="38" fontId="17" fillId="6" borderId="15" xfId="0" applyNumberFormat="1" applyFont="1" applyFill="1" applyBorder="1" applyAlignment="1">
      <alignment horizontal="center"/>
    </xf>
    <xf numFmtId="38" fontId="17" fillId="6" borderId="15" xfId="0" applyNumberFormat="1" applyFont="1" applyFill="1" applyBorder="1" applyAlignment="1">
      <alignment horizontal="center" shrinkToFit="1"/>
    </xf>
    <xf numFmtId="38" fontId="17" fillId="6" borderId="25" xfId="0" applyNumberFormat="1" applyFont="1" applyFill="1" applyBorder="1" applyAlignment="1">
      <alignment horizontal="center"/>
    </xf>
    <xf numFmtId="38" fontId="17" fillId="6" borderId="26" xfId="0" applyNumberFormat="1" applyFont="1" applyFill="1" applyBorder="1" applyAlignment="1">
      <alignment horizontal="center"/>
    </xf>
    <xf numFmtId="38" fontId="17" fillId="6" borderId="17" xfId="0" applyNumberFormat="1" applyFont="1" applyFill="1" applyBorder="1" applyAlignment="1">
      <alignment horizontal="center"/>
    </xf>
    <xf numFmtId="38" fontId="17" fillId="6" borderId="10" xfId="0" applyNumberFormat="1" applyFont="1" applyFill="1" applyBorder="1" applyAlignment="1">
      <alignment horizontal="center"/>
    </xf>
    <xf numFmtId="38" fontId="17" fillId="6" borderId="11" xfId="0" applyNumberFormat="1" applyFont="1" applyFill="1" applyBorder="1" applyAlignment="1">
      <alignment horizontal="center"/>
    </xf>
    <xf numFmtId="38" fontId="17" fillId="6" borderId="27" xfId="0" applyNumberFormat="1" applyFont="1" applyFill="1" applyBorder="1" applyAlignment="1">
      <alignment horizontal="center"/>
    </xf>
    <xf numFmtId="0" fontId="17" fillId="0" borderId="11" xfId="0" applyFont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49" fontId="41" fillId="18" borderId="41" xfId="0" applyNumberFormat="1" applyFont="1" applyFill="1" applyBorder="1" applyAlignment="1">
      <alignment horizontal="right" vertical="center"/>
    </xf>
    <xf numFmtId="49" fontId="41" fillId="18" borderId="42" xfId="0" applyNumberFormat="1" applyFont="1" applyFill="1" applyBorder="1" applyAlignment="1">
      <alignment horizontal="right" vertical="center"/>
    </xf>
    <xf numFmtId="0" fontId="17" fillId="6" borderId="19" xfId="0" applyFont="1" applyFill="1" applyBorder="1" applyAlignment="1">
      <alignment horizontal="center" vertical="center" wrapText="1"/>
    </xf>
    <xf numFmtId="0" fontId="17" fillId="6" borderId="21" xfId="0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center" vertical="center" textRotation="90" wrapText="1" shrinkToFit="1"/>
    </xf>
    <xf numFmtId="0" fontId="17" fillId="6" borderId="33" xfId="0" applyFont="1" applyFill="1" applyBorder="1" applyAlignment="1">
      <alignment horizontal="center" vertical="center" textRotation="90" wrapText="1" shrinkToFit="1"/>
    </xf>
    <xf numFmtId="0" fontId="17" fillId="6" borderId="15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/>
    </xf>
    <xf numFmtId="0" fontId="17" fillId="6" borderId="14" xfId="0" applyFont="1" applyFill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0" fontId="17" fillId="6" borderId="62" xfId="0" applyFont="1" applyFill="1" applyBorder="1" applyAlignment="1">
      <alignment horizontal="center" wrapText="1"/>
    </xf>
    <xf numFmtId="49" fontId="43" fillId="20" borderId="39" xfId="0" applyNumberFormat="1" applyFont="1" applyFill="1" applyBorder="1" applyAlignment="1">
      <alignment horizontal="right" vertical="center"/>
    </xf>
    <xf numFmtId="49" fontId="43" fillId="20" borderId="40" xfId="0" applyNumberFormat="1" applyFont="1" applyFill="1" applyBorder="1" applyAlignment="1">
      <alignment horizontal="right" vertical="center"/>
    </xf>
    <xf numFmtId="49" fontId="41" fillId="18" borderId="46" xfId="0" applyNumberFormat="1" applyFont="1" applyFill="1" applyBorder="1" applyAlignment="1">
      <alignment horizontal="right" vertical="center"/>
    </xf>
    <xf numFmtId="49" fontId="41" fillId="18" borderId="47" xfId="0" applyNumberFormat="1" applyFont="1" applyFill="1" applyBorder="1" applyAlignment="1">
      <alignment horizontal="right" vertical="center"/>
    </xf>
    <xf numFmtId="49" fontId="43" fillId="19" borderId="41" xfId="0" applyNumberFormat="1" applyFont="1" applyFill="1" applyBorder="1" applyAlignment="1">
      <alignment horizontal="right" vertical="center"/>
    </xf>
    <xf numFmtId="49" fontId="43" fillId="19" borderId="42" xfId="0" applyNumberFormat="1" applyFont="1" applyFill="1" applyBorder="1" applyAlignment="1">
      <alignment horizontal="right" vertical="center"/>
    </xf>
    <xf numFmtId="49" fontId="43" fillId="19" borderId="41" xfId="0" applyNumberFormat="1" applyFont="1" applyFill="1" applyBorder="1" applyAlignment="1">
      <alignment horizontal="right"/>
    </xf>
    <xf numFmtId="49" fontId="43" fillId="19" borderId="42" xfId="0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/>
    </xf>
    <xf numFmtId="0" fontId="49" fillId="6" borderId="15" xfId="0" applyFont="1" applyFill="1" applyBorder="1" applyAlignment="1">
      <alignment horizontal="center" vertical="center" wrapText="1"/>
    </xf>
    <xf numFmtId="0" fontId="20" fillId="12" borderId="32" xfId="12" applyFont="1" applyFill="1" applyBorder="1" applyAlignment="1">
      <alignment horizontal="center" vertical="center" wrapText="1"/>
    </xf>
    <xf numFmtId="0" fontId="20" fillId="12" borderId="74" xfId="12" applyFont="1" applyFill="1" applyBorder="1" applyAlignment="1">
      <alignment horizontal="center" vertical="center" wrapText="1"/>
    </xf>
    <xf numFmtId="0" fontId="49" fillId="6" borderId="15" xfId="0" applyFont="1" applyFill="1" applyBorder="1" applyAlignment="1">
      <alignment horizontal="center" vertical="center"/>
    </xf>
    <xf numFmtId="0" fontId="49" fillId="6" borderId="20" xfId="0" applyFont="1" applyFill="1" applyBorder="1" applyAlignment="1">
      <alignment horizontal="center"/>
    </xf>
    <xf numFmtId="0" fontId="49" fillId="6" borderId="14" xfId="0" applyFont="1" applyFill="1" applyBorder="1" applyAlignment="1">
      <alignment horizontal="center"/>
    </xf>
    <xf numFmtId="0" fontId="49" fillId="6" borderId="19" xfId="0" applyFont="1" applyFill="1" applyBorder="1" applyAlignment="1">
      <alignment horizontal="center" vertical="center" wrapText="1"/>
    </xf>
    <xf numFmtId="0" fontId="49" fillId="6" borderId="21" xfId="0" applyFont="1" applyFill="1" applyBorder="1" applyAlignment="1">
      <alignment horizontal="center" vertical="center" wrapText="1"/>
    </xf>
    <xf numFmtId="0" fontId="49" fillId="6" borderId="19" xfId="0" applyFont="1" applyFill="1" applyBorder="1" applyAlignment="1">
      <alignment horizontal="center" vertical="center" textRotation="90" wrapText="1" shrinkToFit="1"/>
    </xf>
    <xf numFmtId="0" fontId="49" fillId="6" borderId="33" xfId="0" applyFont="1" applyFill="1" applyBorder="1" applyAlignment="1">
      <alignment horizontal="center" vertical="center" textRotation="90" wrapText="1" shrinkToFit="1"/>
    </xf>
    <xf numFmtId="0" fontId="20" fillId="12" borderId="77" xfId="12" applyFont="1" applyFill="1" applyBorder="1" applyAlignment="1">
      <alignment horizontal="center" vertical="center" wrapText="1"/>
    </xf>
    <xf numFmtId="0" fontId="20" fillId="12" borderId="66" xfId="12" applyFont="1" applyFill="1" applyBorder="1" applyAlignment="1">
      <alignment horizontal="center" vertical="center" wrapText="1"/>
    </xf>
    <xf numFmtId="0" fontId="20" fillId="12" borderId="78" xfId="12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textRotation="90" wrapText="1"/>
    </xf>
    <xf numFmtId="49" fontId="41" fillId="18" borderId="63" xfId="0" applyNumberFormat="1" applyFont="1" applyFill="1" applyBorder="1" applyAlignment="1">
      <alignment horizontal="right" vertical="center"/>
    </xf>
    <xf numFmtId="49" fontId="41" fillId="18" borderId="61" xfId="0" applyNumberFormat="1" applyFont="1" applyFill="1" applyBorder="1" applyAlignment="1">
      <alignment horizontal="right" vertical="center"/>
    </xf>
    <xf numFmtId="0" fontId="17" fillId="6" borderId="19" xfId="0" applyFont="1" applyFill="1" applyBorder="1" applyAlignment="1">
      <alignment horizontal="center" textRotation="90" wrapText="1" shrinkToFit="1"/>
    </xf>
    <xf numFmtId="0" fontId="17" fillId="6" borderId="33" xfId="0" applyFont="1" applyFill="1" applyBorder="1" applyAlignment="1">
      <alignment horizontal="center" textRotation="90" wrapText="1" shrinkToFit="1"/>
    </xf>
    <xf numFmtId="0" fontId="45" fillId="16" borderId="37" xfId="14" applyFont="1" applyFill="1" applyBorder="1" applyAlignment="1">
      <alignment horizontal="left" vertical="center" wrapText="1"/>
    </xf>
    <xf numFmtId="49" fontId="41" fillId="18" borderId="72" xfId="0" applyNumberFormat="1" applyFont="1" applyFill="1" applyBorder="1" applyAlignment="1">
      <alignment horizontal="right" vertical="center"/>
    </xf>
    <xf numFmtId="49" fontId="41" fillId="18" borderId="69" xfId="0" applyNumberFormat="1" applyFont="1" applyFill="1" applyBorder="1" applyAlignment="1">
      <alignment horizontal="right" vertical="center"/>
    </xf>
    <xf numFmtId="49" fontId="43" fillId="20" borderId="81" xfId="0" applyNumberFormat="1" applyFont="1" applyFill="1" applyBorder="1" applyAlignment="1">
      <alignment horizontal="right" vertical="center"/>
    </xf>
    <xf numFmtId="49" fontId="43" fillId="20" borderId="11" xfId="0" applyNumberFormat="1" applyFont="1" applyFill="1" applyBorder="1" applyAlignment="1">
      <alignment horizontal="right" vertical="center"/>
    </xf>
    <xf numFmtId="0" fontId="17" fillId="6" borderId="77" xfId="0" applyFont="1" applyFill="1" applyBorder="1" applyAlignment="1">
      <alignment horizontal="center" wrapText="1"/>
    </xf>
    <xf numFmtId="0" fontId="17" fillId="6" borderId="66" xfId="0" applyFont="1" applyFill="1" applyBorder="1" applyAlignment="1">
      <alignment horizontal="center" wrapText="1"/>
    </xf>
    <xf numFmtId="0" fontId="17" fillId="6" borderId="78" xfId="0" applyFont="1" applyFill="1" applyBorder="1" applyAlignment="1">
      <alignment horizontal="center" wrapText="1"/>
    </xf>
    <xf numFmtId="0" fontId="23" fillId="0" borderId="11" xfId="0" applyFont="1" applyBorder="1" applyAlignment="1">
      <alignment horizontal="center" vertical="center"/>
    </xf>
    <xf numFmtId="0" fontId="17" fillId="7" borderId="20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0" fontId="17" fillId="7" borderId="15" xfId="0" applyFont="1" applyFill="1" applyBorder="1" applyAlignment="1">
      <alignment horizontal="center" wrapText="1"/>
    </xf>
    <xf numFmtId="0" fontId="17" fillId="9" borderId="20" xfId="0" applyFont="1" applyFill="1" applyBorder="1" applyAlignment="1">
      <alignment horizontal="center"/>
    </xf>
    <xf numFmtId="0" fontId="17" fillId="9" borderId="14" xfId="0" applyFont="1" applyFill="1" applyBorder="1" applyAlignment="1">
      <alignment horizontal="center"/>
    </xf>
    <xf numFmtId="0" fontId="17" fillId="9" borderId="28" xfId="0" applyFont="1" applyFill="1" applyBorder="1" applyAlignment="1">
      <alignment horizontal="center"/>
    </xf>
    <xf numFmtId="0" fontId="31" fillId="0" borderId="11" xfId="9" applyFont="1" applyBorder="1" applyAlignment="1">
      <alignment horizontal="left" wrapText="1"/>
    </xf>
    <xf numFmtId="0" fontId="24" fillId="7" borderId="19" xfId="9" applyFont="1" applyFill="1" applyBorder="1" applyAlignment="1">
      <alignment horizontal="center" wrapText="1"/>
    </xf>
    <xf numFmtId="0" fontId="24" fillId="7" borderId="5" xfId="9" applyFont="1" applyFill="1" applyBorder="1" applyAlignment="1">
      <alignment horizontal="center" wrapText="1"/>
    </xf>
    <xf numFmtId="0" fontId="24" fillId="7" borderId="21" xfId="9" applyFont="1" applyFill="1" applyBorder="1" applyAlignment="1">
      <alignment horizontal="center" wrapText="1"/>
    </xf>
    <xf numFmtId="0" fontId="17" fillId="9" borderId="15" xfId="0" applyFont="1" applyFill="1" applyBorder="1" applyAlignment="1">
      <alignment horizontal="center"/>
    </xf>
    <xf numFmtId="0" fontId="32" fillId="9" borderId="15" xfId="6" applyFont="1" applyFill="1" applyBorder="1" applyAlignment="1">
      <alignment horizontal="center" wrapText="1"/>
    </xf>
    <xf numFmtId="0" fontId="17" fillId="9" borderId="15" xfId="0" applyFont="1" applyFill="1" applyBorder="1" applyAlignment="1">
      <alignment horizontal="center" wrapText="1"/>
    </xf>
    <xf numFmtId="0" fontId="17" fillId="9" borderId="19" xfId="0" applyFont="1" applyFill="1" applyBorder="1" applyAlignment="1">
      <alignment horizontal="center"/>
    </xf>
    <xf numFmtId="0" fontId="17" fillId="9" borderId="21" xfId="0" applyFont="1" applyFill="1" applyBorder="1" applyAlignment="1">
      <alignment horizontal="center"/>
    </xf>
    <xf numFmtId="0" fontId="32" fillId="9" borderId="19" xfId="6" applyFont="1" applyFill="1" applyBorder="1" applyAlignment="1">
      <alignment horizontal="center" wrapText="1"/>
    </xf>
    <xf numFmtId="0" fontId="32" fillId="9" borderId="21" xfId="6" applyFont="1" applyFill="1" applyBorder="1" applyAlignment="1">
      <alignment horizontal="center" wrapText="1"/>
    </xf>
    <xf numFmtId="0" fontId="17" fillId="9" borderId="19" xfId="0" applyFont="1" applyFill="1" applyBorder="1" applyAlignment="1">
      <alignment horizontal="center" wrapText="1"/>
    </xf>
    <xf numFmtId="0" fontId="17" fillId="9" borderId="21" xfId="0" applyFont="1" applyFill="1" applyBorder="1" applyAlignment="1">
      <alignment horizontal="center" wrapText="1"/>
    </xf>
    <xf numFmtId="0" fontId="32" fillId="9" borderId="19" xfId="6" applyFont="1" applyFill="1" applyBorder="1" applyAlignment="1">
      <alignment horizontal="center"/>
    </xf>
    <xf numFmtId="0" fontId="32" fillId="9" borderId="21" xfId="6" applyFont="1" applyFill="1" applyBorder="1" applyAlignment="1">
      <alignment horizontal="center"/>
    </xf>
    <xf numFmtId="0" fontId="24" fillId="9" borderId="19" xfId="6" applyFont="1" applyFill="1" applyBorder="1" applyAlignment="1">
      <alignment horizontal="center"/>
    </xf>
    <xf numFmtId="0" fontId="24" fillId="9" borderId="21" xfId="6" applyFont="1" applyFill="1" applyBorder="1" applyAlignment="1">
      <alignment horizontal="center"/>
    </xf>
    <xf numFmtId="0" fontId="24" fillId="9" borderId="15" xfId="6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23" fillId="0" borderId="11" xfId="0" applyFont="1" applyBorder="1" applyAlignment="1">
      <alignment horizontal="center"/>
    </xf>
    <xf numFmtId="0" fontId="24" fillId="7" borderId="19" xfId="8" applyFont="1" applyFill="1" applyBorder="1" applyAlignment="1">
      <alignment horizontal="center" wrapText="1"/>
    </xf>
    <xf numFmtId="0" fontId="24" fillId="7" borderId="21" xfId="8" applyFont="1" applyFill="1" applyBorder="1" applyAlignment="1">
      <alignment horizontal="center" wrapText="1"/>
    </xf>
    <xf numFmtId="0" fontId="24" fillId="7" borderId="19" xfId="8" applyFont="1" applyFill="1" applyBorder="1" applyAlignment="1">
      <alignment horizontal="center"/>
    </xf>
    <xf numFmtId="0" fontId="24" fillId="7" borderId="21" xfId="8" applyFont="1" applyFill="1" applyBorder="1" applyAlignment="1">
      <alignment horizontal="center"/>
    </xf>
    <xf numFmtId="0" fontId="23" fillId="0" borderId="0" xfId="12" applyFont="1" applyAlignment="1">
      <alignment horizontal="center" shrinkToFit="1"/>
    </xf>
    <xf numFmtId="49" fontId="41" fillId="16" borderId="39" xfId="0" applyNumberFormat="1" applyFont="1" applyFill="1" applyBorder="1" applyAlignment="1">
      <alignment horizontal="left" wrapText="1"/>
    </xf>
    <xf numFmtId="49" fontId="41" fillId="19" borderId="41" xfId="0" applyNumberFormat="1" applyFont="1" applyFill="1" applyBorder="1" applyAlignment="1">
      <alignment horizontal="left" vertical="center" wrapText="1"/>
    </xf>
    <xf numFmtId="49" fontId="41" fillId="19" borderId="42" xfId="0" applyNumberFormat="1" applyFont="1" applyFill="1" applyBorder="1" applyAlignment="1">
      <alignment horizontal="left" vertical="center" wrapText="1"/>
    </xf>
    <xf numFmtId="49" fontId="41" fillId="19" borderId="45" xfId="0" applyNumberFormat="1" applyFont="1" applyFill="1" applyBorder="1" applyAlignment="1">
      <alignment horizontal="left" vertical="center" wrapText="1"/>
    </xf>
    <xf numFmtId="49" fontId="41" fillId="16" borderId="46" xfId="0" applyNumberFormat="1" applyFont="1" applyFill="1" applyBorder="1" applyAlignment="1">
      <alignment horizontal="left" wrapText="1"/>
    </xf>
    <xf numFmtId="49" fontId="41" fillId="16" borderId="38" xfId="0" applyNumberFormat="1" applyFont="1" applyFill="1" applyBorder="1" applyAlignment="1">
      <alignment horizontal="left" wrapText="1"/>
    </xf>
    <xf numFmtId="0" fontId="11" fillId="0" borderId="0" xfId="0" applyFont="1" applyAlignment="1">
      <alignment horizontal="center" wrapText="1"/>
    </xf>
    <xf numFmtId="0" fontId="24" fillId="12" borderId="29" xfId="12" applyFont="1" applyFill="1" applyBorder="1" applyAlignment="1">
      <alignment horizontal="left" wrapText="1"/>
    </xf>
    <xf numFmtId="0" fontId="24" fillId="12" borderId="30" xfId="12" applyFont="1" applyFill="1" applyBorder="1" applyAlignment="1">
      <alignment horizontal="center" wrapText="1"/>
    </xf>
    <xf numFmtId="0" fontId="24" fillId="12" borderId="49" xfId="12" applyFont="1" applyFill="1" applyBorder="1" applyAlignment="1">
      <alignment horizontal="center" wrapText="1"/>
    </xf>
    <xf numFmtId="0" fontId="24" fillId="12" borderId="19" xfId="12" applyFont="1" applyFill="1" applyBorder="1" applyAlignment="1">
      <alignment horizontal="center" wrapText="1"/>
    </xf>
    <xf numFmtId="0" fontId="24" fillId="12" borderId="21" xfId="12" applyFont="1" applyFill="1" applyBorder="1" applyAlignment="1">
      <alignment horizontal="center" wrapText="1"/>
    </xf>
    <xf numFmtId="0" fontId="24" fillId="12" borderId="20" xfId="12" applyFont="1" applyFill="1" applyBorder="1" applyAlignment="1">
      <alignment horizontal="center" vertical="center" wrapText="1"/>
    </xf>
    <xf numFmtId="0" fontId="24" fillId="12" borderId="28" xfId="12" applyFont="1" applyFill="1" applyBorder="1" applyAlignment="1">
      <alignment horizontal="center" vertical="center" wrapText="1"/>
    </xf>
    <xf numFmtId="0" fontId="24" fillId="12" borderId="14" xfId="12" applyFont="1" applyFill="1" applyBorder="1" applyAlignment="1">
      <alignment horizontal="center" vertical="center" wrapText="1"/>
    </xf>
    <xf numFmtId="49" fontId="43" fillId="22" borderId="61" xfId="0" applyNumberFormat="1" applyFont="1" applyFill="1" applyBorder="1" applyAlignment="1">
      <alignment horizontal="left" vertical="center"/>
    </xf>
    <xf numFmtId="49" fontId="43" fillId="21" borderId="0" xfId="0" applyNumberFormat="1" applyFont="1" applyFill="1" applyAlignment="1">
      <alignment horizontal="left" vertical="center"/>
    </xf>
    <xf numFmtId="49" fontId="43" fillId="25" borderId="0" xfId="0" applyNumberFormat="1" applyFont="1" applyFill="1" applyAlignment="1">
      <alignment horizontal="left" vertical="center"/>
    </xf>
    <xf numFmtId="49" fontId="43" fillId="22" borderId="0" xfId="0" applyNumberFormat="1" applyFont="1" applyFill="1" applyAlignment="1">
      <alignment horizontal="left" vertical="center"/>
    </xf>
    <xf numFmtId="49" fontId="43" fillId="22" borderId="66" xfId="0" applyNumberFormat="1" applyFont="1" applyFill="1" applyBorder="1" applyAlignment="1">
      <alignment horizontal="left" vertical="center"/>
    </xf>
    <xf numFmtId="0" fontId="43" fillId="22" borderId="42" xfId="0" applyFont="1" applyFill="1" applyBorder="1" applyAlignment="1">
      <alignment horizontal="left" vertical="center"/>
    </xf>
    <xf numFmtId="0" fontId="43" fillId="22" borderId="66" xfId="0" applyFont="1" applyFill="1" applyBorder="1" applyAlignment="1">
      <alignment horizontal="left" vertical="center"/>
    </xf>
    <xf numFmtId="49" fontId="43" fillId="22" borderId="42" xfId="0" applyNumberFormat="1" applyFont="1" applyFill="1" applyBorder="1" applyAlignment="1">
      <alignment horizontal="left" vertical="center"/>
    </xf>
    <xf numFmtId="49" fontId="41" fillId="16" borderId="39" xfId="0" applyNumberFormat="1" applyFont="1" applyFill="1" applyBorder="1" applyAlignment="1">
      <alignment horizontal="left"/>
    </xf>
    <xf numFmtId="49" fontId="41" fillId="16" borderId="40" xfId="0" applyNumberFormat="1" applyFont="1" applyFill="1" applyBorder="1" applyAlignment="1">
      <alignment horizontal="left"/>
    </xf>
    <xf numFmtId="49" fontId="41" fillId="16" borderId="38" xfId="0" applyNumberFormat="1" applyFont="1" applyFill="1" applyBorder="1" applyAlignment="1">
      <alignment horizontal="left"/>
    </xf>
    <xf numFmtId="49" fontId="41" fillId="16" borderId="0" xfId="0" applyNumberFormat="1" applyFont="1" applyFill="1" applyAlignment="1">
      <alignment horizontal="left"/>
    </xf>
    <xf numFmtId="49" fontId="41" fillId="16" borderId="46" xfId="0" applyNumberFormat="1" applyFont="1" applyFill="1" applyBorder="1" applyAlignment="1">
      <alignment horizontal="left"/>
    </xf>
    <xf numFmtId="49" fontId="41" fillId="16" borderId="47" xfId="0" applyNumberFormat="1" applyFont="1" applyFill="1" applyBorder="1" applyAlignment="1">
      <alignment horizontal="left"/>
    </xf>
    <xf numFmtId="49" fontId="43" fillId="22" borderId="47" xfId="0" applyNumberFormat="1" applyFont="1" applyFill="1" applyBorder="1" applyAlignment="1">
      <alignment horizontal="left" vertical="center"/>
    </xf>
    <xf numFmtId="0" fontId="11" fillId="0" borderId="31" xfId="0" applyFont="1" applyBorder="1" applyAlignment="1">
      <alignment horizontal="center"/>
    </xf>
    <xf numFmtId="0" fontId="20" fillId="12" borderId="29" xfId="12" applyFont="1" applyFill="1" applyBorder="1" applyAlignment="1">
      <alignment horizontal="center" wrapText="1"/>
    </xf>
    <xf numFmtId="0" fontId="20" fillId="12" borderId="29" xfId="12" applyFont="1" applyFill="1" applyBorder="1" applyAlignment="1">
      <alignment horizontal="center" vertical="center" wrapText="1"/>
    </xf>
    <xf numFmtId="0" fontId="20" fillId="12" borderId="29" xfId="12" applyFont="1" applyFill="1" applyBorder="1" applyAlignment="1">
      <alignment horizontal="left"/>
    </xf>
    <xf numFmtId="0" fontId="20" fillId="12" borderId="29" xfId="12" applyFont="1" applyFill="1" applyBorder="1" applyAlignment="1">
      <alignment horizontal="left" wrapText="1"/>
    </xf>
    <xf numFmtId="49" fontId="43" fillId="29" borderId="41" xfId="0" applyNumberFormat="1" applyFont="1" applyFill="1" applyBorder="1" applyAlignment="1">
      <alignment horizontal="left" vertical="center"/>
    </xf>
    <xf numFmtId="49" fontId="43" fillId="29" borderId="42" xfId="0" applyNumberFormat="1" applyFont="1" applyFill="1" applyBorder="1" applyAlignment="1">
      <alignment horizontal="left" vertical="center"/>
    </xf>
    <xf numFmtId="0" fontId="17" fillId="0" borderId="31" xfId="0" applyFont="1" applyBorder="1" applyAlignment="1">
      <alignment horizontal="center" vertical="center"/>
    </xf>
    <xf numFmtId="49" fontId="41" fillId="16" borderId="37" xfId="14" applyNumberFormat="1" applyFont="1" applyFill="1" applyBorder="1" applyAlignment="1">
      <alignment horizontal="center" vertical="center" wrapText="1"/>
    </xf>
    <xf numFmtId="49" fontId="41" fillId="16" borderId="37" xfId="14" applyNumberFormat="1" applyFont="1" applyFill="1" applyBorder="1" applyAlignment="1">
      <alignment horizontal="left"/>
    </xf>
    <xf numFmtId="49" fontId="41" fillId="16" borderId="37" xfId="14" applyNumberFormat="1" applyFont="1" applyFill="1" applyBorder="1" applyAlignment="1">
      <alignment horizontal="center" vertical="center"/>
    </xf>
    <xf numFmtId="49" fontId="41" fillId="16" borderId="37" xfId="14" applyNumberFormat="1" applyFont="1" applyFill="1" applyBorder="1" applyAlignment="1">
      <alignment horizontal="left" wrapText="1"/>
    </xf>
    <xf numFmtId="49" fontId="43" fillId="29" borderId="77" xfId="0" applyNumberFormat="1" applyFont="1" applyFill="1" applyBorder="1" applyAlignment="1">
      <alignment horizontal="left" vertical="center"/>
    </xf>
    <xf numFmtId="49" fontId="43" fillId="29" borderId="66" xfId="0" applyNumberFormat="1" applyFont="1" applyFill="1" applyBorder="1" applyAlignment="1">
      <alignment horizontal="left" vertical="center"/>
    </xf>
    <xf numFmtId="49" fontId="43" fillId="19" borderId="41" xfId="0" applyNumberFormat="1" applyFont="1" applyFill="1" applyBorder="1" applyAlignment="1">
      <alignment horizontal="left" vertical="center"/>
    </xf>
    <xf numFmtId="49" fontId="43" fillId="19" borderId="42" xfId="0" applyNumberFormat="1" applyFont="1" applyFill="1" applyBorder="1" applyAlignment="1">
      <alignment horizontal="left" vertical="center"/>
    </xf>
    <xf numFmtId="49" fontId="43" fillId="19" borderId="41" xfId="0" applyNumberFormat="1" applyFont="1" applyFill="1" applyBorder="1" applyAlignment="1">
      <alignment horizontal="left"/>
    </xf>
    <xf numFmtId="0" fontId="17" fillId="0" borderId="0" xfId="12" applyFont="1" applyAlignment="1">
      <alignment horizontal="left" wrapText="1"/>
    </xf>
    <xf numFmtId="0" fontId="24" fillId="7" borderId="64" xfId="8" applyFont="1" applyFill="1" applyBorder="1" applyAlignment="1">
      <alignment horizontal="center" wrapText="1"/>
    </xf>
    <xf numFmtId="0" fontId="24" fillId="7" borderId="60" xfId="8" applyFont="1" applyFill="1" applyBorder="1" applyAlignment="1">
      <alignment horizontal="center" wrapText="1"/>
    </xf>
    <xf numFmtId="0" fontId="28" fillId="7" borderId="58" xfId="8" applyFont="1" applyFill="1" applyBorder="1" applyAlignment="1">
      <alignment horizontal="right" wrapText="1"/>
    </xf>
    <xf numFmtId="0" fontId="28" fillId="7" borderId="59" xfId="8" applyFont="1" applyFill="1" applyBorder="1" applyAlignment="1">
      <alignment horizontal="right" wrapText="1"/>
    </xf>
    <xf numFmtId="0" fontId="24" fillId="7" borderId="64" xfId="8" applyFont="1" applyFill="1" applyBorder="1" applyAlignment="1">
      <alignment horizontal="center"/>
    </xf>
    <xf numFmtId="0" fontId="24" fillId="7" borderId="60" xfId="8" applyFont="1" applyFill="1" applyBorder="1" applyAlignment="1">
      <alignment horizontal="center"/>
    </xf>
    <xf numFmtId="0" fontId="23" fillId="0" borderId="0" xfId="12" applyFont="1" applyAlignment="1">
      <alignment horizontal="center"/>
    </xf>
    <xf numFmtId="0" fontId="23" fillId="0" borderId="11" xfId="12" applyFont="1" applyBorder="1" applyAlignment="1">
      <alignment horizontal="center"/>
    </xf>
    <xf numFmtId="0" fontId="24" fillId="7" borderId="64" xfId="8" applyFont="1" applyFill="1" applyBorder="1" applyAlignment="1">
      <alignment horizontal="left"/>
    </xf>
    <xf numFmtId="0" fontId="24" fillId="7" borderId="60" xfId="8" applyFont="1" applyFill="1" applyBorder="1" applyAlignment="1">
      <alignment horizontal="left"/>
    </xf>
    <xf numFmtId="0" fontId="28" fillId="11" borderId="58" xfId="8" applyFont="1" applyFill="1" applyBorder="1" applyAlignment="1">
      <alignment horizontal="right" wrapText="1"/>
    </xf>
    <xf numFmtId="0" fontId="28" fillId="11" borderId="61" xfId="8" applyFont="1" applyFill="1" applyBorder="1" applyAlignment="1">
      <alignment horizontal="right" wrapText="1"/>
    </xf>
    <xf numFmtId="0" fontId="28" fillId="11" borderId="59" xfId="8" applyFont="1" applyFill="1" applyBorder="1" applyAlignment="1">
      <alignment horizontal="right" wrapText="1"/>
    </xf>
    <xf numFmtId="0" fontId="28" fillId="7" borderId="61" xfId="8" applyFont="1" applyFill="1" applyBorder="1" applyAlignment="1">
      <alignment horizontal="right" wrapText="1"/>
    </xf>
    <xf numFmtId="0" fontId="24" fillId="7" borderId="5" xfId="8" applyFont="1" applyFill="1" applyBorder="1" applyAlignment="1">
      <alignment horizontal="left"/>
    </xf>
    <xf numFmtId="0" fontId="28" fillId="11" borderId="27" xfId="8" applyFont="1" applyFill="1" applyBorder="1" applyAlignment="1">
      <alignment horizontal="right" wrapText="1"/>
    </xf>
  </cellXfs>
  <cellStyles count="27">
    <cellStyle name="Comma" xfId="15" builtinId="3"/>
    <cellStyle name="Comma 2" xfId="19" xr:uid="{00000000-0005-0000-0000-00002F000000}"/>
    <cellStyle name="Comma 3" xfId="22" xr:uid="{00000000-0005-0000-0000-000030000000}"/>
    <cellStyle name="Hyperlink" xfId="1" builtinId="8"/>
    <cellStyle name="Normal" xfId="0" builtinId="0"/>
    <cellStyle name="Normal 2" xfId="12" xr:uid="{00000000-0005-0000-0000-000003000000}"/>
    <cellStyle name="Normal 2 2" xfId="26" xr:uid="{130231B2-D060-4B04-B157-E16B7A6B31B7}"/>
    <cellStyle name="Normal 3" xfId="14" xr:uid="{00000000-0005-0000-0000-000004000000}"/>
    <cellStyle name="Normal 4" xfId="16" xr:uid="{00000000-0005-0000-0000-00003D000000}"/>
    <cellStyle name="Normal 4 2" xfId="23" xr:uid="{00000000-0005-0000-0000-00003D000000}"/>
    <cellStyle name="Normal 5" xfId="17" xr:uid="{00000000-0005-0000-0000-000031000000}"/>
    <cellStyle name="Normal 5 2" xfId="24" xr:uid="{00000000-0005-0000-0000-000031000000}"/>
    <cellStyle name="Normal 6" xfId="20" xr:uid="{00000000-0005-0000-0000-000033000000}"/>
    <cellStyle name="Normal 7" xfId="25" xr:uid="{92CDDDCD-51D3-40B7-8793-C17BBBF1A2B3}"/>
    <cellStyle name="Normal_4-Ethnic_Gender" xfId="2" xr:uid="{00000000-0005-0000-0000-000005000000}"/>
    <cellStyle name="Normal_5-Ethnic_Gender_1" xfId="13" xr:uid="{00000000-0005-0000-0000-000006000000}"/>
    <cellStyle name="Normal_5-FTPT" xfId="3" xr:uid="{00000000-0005-0000-0000-000007000000}"/>
    <cellStyle name="Normal_6-Prev_HS" xfId="4" xr:uid="{00000000-0005-0000-0000-000008000000}"/>
    <cellStyle name="Normal_7-New Students" xfId="5" xr:uid="{00000000-0005-0000-0000-000009000000}"/>
    <cellStyle name="Normal_FTPT" xfId="6" xr:uid="{00000000-0005-0000-0000-00000A000000}"/>
    <cellStyle name="Normal_new students" xfId="7" xr:uid="{00000000-0005-0000-0000-00000B000000}"/>
    <cellStyle name="Normal_prev_hs" xfId="8" xr:uid="{00000000-0005-0000-0000-00000C000000}"/>
    <cellStyle name="Normal_Sheet1" xfId="9" xr:uid="{00000000-0005-0000-0000-00000D000000}"/>
    <cellStyle name="Normal_Sheet2" xfId="10" xr:uid="{00000000-0005-0000-0000-00000E000000}"/>
    <cellStyle name="Percent" xfId="11" builtinId="5"/>
    <cellStyle name="Percent 2" xfId="18" xr:uid="{00000000-0005-0000-0000-00003F000000}"/>
    <cellStyle name="Percent 3" xfId="21" xr:uid="{00000000-0005-0000-0000-000042000000}"/>
  </cellStyles>
  <dxfs count="0"/>
  <tableStyles count="0" defaultTableStyle="TableStyleMedium9" defaultPivotStyle="PivotStyleLight16"/>
  <colors>
    <mruColors>
      <color rgb="FF0000FF"/>
      <color rgb="FFF8F6AC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4266</xdr:rowOff>
    </xdr:from>
    <xdr:to>
      <xdr:col>1</xdr:col>
      <xdr:colOff>2026920</xdr:colOff>
      <xdr:row>3</xdr:row>
      <xdr:rowOff>131444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438FC5-27F5-4706-85B9-88C816EF2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4266"/>
          <a:ext cx="2628900" cy="7501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940646</xdr:colOff>
      <xdr:row>3</xdr:row>
      <xdr:rowOff>7621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C773AC-7F5C-4AA1-B8AA-0BE598B0D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057400" cy="6096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1264920</xdr:colOff>
      <xdr:row>3</xdr:row>
      <xdr:rowOff>7620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D47DCCA-C300-469E-9BE3-EDFC20793B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57400" cy="6096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28575</xdr:rowOff>
    </xdr:from>
    <xdr:to>
      <xdr:col>2</xdr:col>
      <xdr:colOff>469106</xdr:colOff>
      <xdr:row>3</xdr:row>
      <xdr:rowOff>135255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F5DCDB-0358-45A3-A390-89B913A45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8575"/>
          <a:ext cx="1955006" cy="64960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152400</xdr:rowOff>
    </xdr:from>
    <xdr:to>
      <xdr:col>3</xdr:col>
      <xdr:colOff>848677</xdr:colOff>
      <xdr:row>4</xdr:row>
      <xdr:rowOff>42968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40DE1D-A763-4A4F-B52D-D53449B2B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52400"/>
          <a:ext cx="2001202" cy="60494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119063</xdr:colOff>
      <xdr:row>0</xdr:row>
      <xdr:rowOff>128984</xdr:rowOff>
    </xdr:from>
    <xdr:to>
      <xdr:col>3</xdr:col>
      <xdr:colOff>1080612</xdr:colOff>
      <xdr:row>3</xdr:row>
      <xdr:rowOff>276780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D8DB67-377D-4C74-87AF-34B94698F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3" y="128984"/>
          <a:ext cx="2251393" cy="74310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961549</xdr:colOff>
      <xdr:row>3</xdr:row>
      <xdr:rowOff>147796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E1E411-99B7-46A2-A097-D2A086750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6949" cy="74866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79377</xdr:colOff>
      <xdr:row>0</xdr:row>
      <xdr:rowOff>95251</xdr:rowOff>
    </xdr:from>
    <xdr:to>
      <xdr:col>1</xdr:col>
      <xdr:colOff>1134323</xdr:colOff>
      <xdr:row>3</xdr:row>
      <xdr:rowOff>102871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144C79-E047-464C-A120-B100C0114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7" y="95251"/>
          <a:ext cx="2064596" cy="60769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513080</xdr:colOff>
      <xdr:row>3</xdr:row>
      <xdr:rowOff>7621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E6FA64-CCB2-4518-AB05-10B163520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21746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33868</xdr:colOff>
      <xdr:row>0</xdr:row>
      <xdr:rowOff>1</xdr:rowOff>
    </xdr:from>
    <xdr:to>
      <xdr:col>2</xdr:col>
      <xdr:colOff>500383</xdr:colOff>
      <xdr:row>3</xdr:row>
      <xdr:rowOff>7621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8D6909-E4F3-4BDC-863D-13ED24AFC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68" y="1"/>
          <a:ext cx="2075181" cy="60769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1044363</xdr:colOff>
      <xdr:row>3</xdr:row>
      <xdr:rowOff>7621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092E9F-18B7-4AE5-865C-25505CA4D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20688" cy="60769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190501</xdr:rowOff>
    </xdr:from>
    <xdr:to>
      <xdr:col>2</xdr:col>
      <xdr:colOff>615738</xdr:colOff>
      <xdr:row>4</xdr:row>
      <xdr:rowOff>36196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A6C830-6B6F-4262-812A-E90382FF0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90501"/>
          <a:ext cx="2034963" cy="607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144780</xdr:rowOff>
    </xdr:from>
    <xdr:to>
      <xdr:col>3</xdr:col>
      <xdr:colOff>455612</xdr:colOff>
      <xdr:row>4</xdr:row>
      <xdr:rowOff>124321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941F5A7-1EB6-410B-981D-B041B18EC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144780"/>
          <a:ext cx="2606040" cy="7653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91440</xdr:rowOff>
    </xdr:from>
    <xdr:to>
      <xdr:col>3</xdr:col>
      <xdr:colOff>552269</xdr:colOff>
      <xdr:row>4</xdr:row>
      <xdr:rowOff>70981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6D0384B-0B33-4936-B549-5F84E2D72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1440"/>
          <a:ext cx="2750820" cy="7653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52917</xdr:rowOff>
    </xdr:from>
    <xdr:to>
      <xdr:col>3</xdr:col>
      <xdr:colOff>1550246</xdr:colOff>
      <xdr:row>2</xdr:row>
      <xdr:rowOff>136703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F68083-62C4-45A0-AF1B-86C69937F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6" y="52917"/>
          <a:ext cx="2693247" cy="7505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118534</xdr:colOff>
      <xdr:row>0</xdr:row>
      <xdr:rowOff>179916</xdr:rowOff>
    </xdr:from>
    <xdr:to>
      <xdr:col>3</xdr:col>
      <xdr:colOff>1376680</xdr:colOff>
      <xdr:row>3</xdr:row>
      <xdr:rowOff>168452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9263C1-3A15-465D-90E9-59D28CCAD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34" y="179916"/>
          <a:ext cx="2686896" cy="741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209550</xdr:rowOff>
    </xdr:from>
    <xdr:to>
      <xdr:col>4</xdr:col>
      <xdr:colOff>59055</xdr:colOff>
      <xdr:row>3</xdr:row>
      <xdr:rowOff>41453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E3D2F0-DFFC-453A-B621-A6F3FB3CD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09550"/>
          <a:ext cx="2687955" cy="7463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133350</xdr:rowOff>
    </xdr:from>
    <xdr:to>
      <xdr:col>4</xdr:col>
      <xdr:colOff>125730</xdr:colOff>
      <xdr:row>3</xdr:row>
      <xdr:rowOff>22403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FE9B0C-66B9-42AA-B356-3E72D1E5E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33350"/>
          <a:ext cx="2687955" cy="74630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2</xdr:col>
      <xdr:colOff>4082</xdr:colOff>
      <xdr:row>3</xdr:row>
      <xdr:rowOff>135433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D4F283-E4EB-4F77-8A14-03C54E0DD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00"/>
          <a:ext cx="2851150" cy="6963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7621</xdr:rowOff>
    </xdr:from>
    <xdr:to>
      <xdr:col>2</xdr:col>
      <xdr:colOff>693420</xdr:colOff>
      <xdr:row>3</xdr:row>
      <xdr:rowOff>68580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D73E28-F60F-4D6F-B896-BB5D8CB4A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7621"/>
          <a:ext cx="2042160" cy="632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D25"/>
  <sheetViews>
    <sheetView zoomScaleNormal="100" zoomScalePageLayoutView="80" workbookViewId="0">
      <selection activeCell="A114" sqref="A114:XFD114"/>
    </sheetView>
  </sheetViews>
  <sheetFormatPr defaultColWidth="8.85546875" defaultRowHeight="12.75" x14ac:dyDescent="0.2"/>
  <cols>
    <col min="1" max="1" width="8.7109375" style="203" customWidth="1"/>
    <col min="2" max="2" width="38.85546875" style="203" customWidth="1"/>
    <col min="3" max="3" width="90.7109375" style="205" customWidth="1"/>
    <col min="4" max="16384" width="8.85546875" style="203"/>
  </cols>
  <sheetData>
    <row r="1" spans="1:4" ht="18.75" x14ac:dyDescent="0.3">
      <c r="B1" s="204"/>
    </row>
    <row r="2" spans="1:4" ht="18" x14ac:dyDescent="0.35">
      <c r="B2" s="206"/>
    </row>
    <row r="3" spans="1:4" ht="15" x14ac:dyDescent="0.3">
      <c r="B3" s="207"/>
    </row>
    <row r="4" spans="1:4" ht="19.5" customHeight="1" x14ac:dyDescent="0.3">
      <c r="B4" s="207"/>
    </row>
    <row r="5" spans="1:4" ht="16.5" customHeight="1" x14ac:dyDescent="0.25">
      <c r="A5" s="594" t="s">
        <v>1431</v>
      </c>
      <c r="B5" s="594"/>
      <c r="C5" s="594"/>
    </row>
    <row r="6" spans="1:4" ht="15.75" x14ac:dyDescent="0.25">
      <c r="A6" s="351"/>
      <c r="B6" s="592" t="s">
        <v>106</v>
      </c>
      <c r="C6" s="593"/>
    </row>
    <row r="7" spans="1:4" ht="16.149999999999999" customHeight="1" x14ac:dyDescent="0.25">
      <c r="A7" s="352" t="s">
        <v>1424</v>
      </c>
      <c r="B7" s="26" t="s">
        <v>10</v>
      </c>
      <c r="C7" s="353" t="s">
        <v>11</v>
      </c>
    </row>
    <row r="8" spans="1:4" ht="20.25" customHeight="1" x14ac:dyDescent="0.2">
      <c r="A8" s="208">
        <v>1</v>
      </c>
      <c r="B8" s="354" t="s">
        <v>12</v>
      </c>
      <c r="C8" s="214" t="s">
        <v>151</v>
      </c>
    </row>
    <row r="9" spans="1:4" ht="20.25" customHeight="1" x14ac:dyDescent="0.2">
      <c r="A9" s="208">
        <v>2</v>
      </c>
      <c r="B9" s="354" t="s">
        <v>13</v>
      </c>
      <c r="C9" s="214" t="s">
        <v>152</v>
      </c>
    </row>
    <row r="10" spans="1:4" ht="20.25" customHeight="1" x14ac:dyDescent="0.2">
      <c r="A10" s="208">
        <v>3</v>
      </c>
      <c r="B10" s="355" t="s">
        <v>14</v>
      </c>
      <c r="C10" s="261" t="s">
        <v>0</v>
      </c>
    </row>
    <row r="11" spans="1:4" ht="20.25" customHeight="1" x14ac:dyDescent="0.2">
      <c r="A11" s="208">
        <v>4</v>
      </c>
      <c r="B11" s="355" t="s">
        <v>1</v>
      </c>
      <c r="C11" s="261" t="s">
        <v>2</v>
      </c>
    </row>
    <row r="12" spans="1:4" ht="34.15" customHeight="1" x14ac:dyDescent="0.2">
      <c r="A12" s="208">
        <v>5</v>
      </c>
      <c r="B12" s="356" t="s">
        <v>290</v>
      </c>
      <c r="C12" s="214" t="s">
        <v>289</v>
      </c>
    </row>
    <row r="13" spans="1:4" ht="34.15" customHeight="1" x14ac:dyDescent="0.2">
      <c r="A13" s="208">
        <v>6</v>
      </c>
      <c r="B13" s="356" t="s">
        <v>291</v>
      </c>
      <c r="C13" s="214" t="s">
        <v>347</v>
      </c>
    </row>
    <row r="14" spans="1:4" ht="20.25" customHeight="1" x14ac:dyDescent="0.2">
      <c r="A14" s="208">
        <v>7</v>
      </c>
      <c r="B14" s="354" t="s">
        <v>15</v>
      </c>
      <c r="C14" s="214" t="s">
        <v>70</v>
      </c>
    </row>
    <row r="15" spans="1:4" ht="20.25" customHeight="1" x14ac:dyDescent="0.2">
      <c r="A15" s="208">
        <v>8</v>
      </c>
      <c r="B15" s="354" t="s">
        <v>16</v>
      </c>
      <c r="C15" s="214" t="s">
        <v>1425</v>
      </c>
    </row>
    <row r="16" spans="1:4" ht="20.25" customHeight="1" x14ac:dyDescent="0.2">
      <c r="A16" s="208">
        <v>9</v>
      </c>
      <c r="B16" s="354" t="s">
        <v>17</v>
      </c>
      <c r="C16" s="214" t="s">
        <v>74</v>
      </c>
      <c r="D16" s="209"/>
    </row>
    <row r="17" spans="1:3" ht="20.25" customHeight="1" x14ac:dyDescent="0.2">
      <c r="A17" s="208">
        <v>10</v>
      </c>
      <c r="B17" s="354" t="s">
        <v>18</v>
      </c>
      <c r="C17" s="214" t="s">
        <v>77</v>
      </c>
    </row>
    <row r="18" spans="1:3" ht="20.25" customHeight="1" x14ac:dyDescent="0.2">
      <c r="A18" s="208">
        <v>11</v>
      </c>
      <c r="B18" s="354" t="s">
        <v>176</v>
      </c>
      <c r="C18" s="214" t="s">
        <v>5</v>
      </c>
    </row>
    <row r="19" spans="1:3" ht="20.25" customHeight="1" x14ac:dyDescent="0.2">
      <c r="A19" s="208">
        <v>12</v>
      </c>
      <c r="B19" s="354" t="s">
        <v>177</v>
      </c>
      <c r="C19" s="214" t="s">
        <v>4</v>
      </c>
    </row>
    <row r="20" spans="1:3" ht="20.25" customHeight="1" x14ac:dyDescent="0.2">
      <c r="A20" s="208">
        <v>13</v>
      </c>
      <c r="B20" s="355" t="s">
        <v>270</v>
      </c>
      <c r="C20" s="261" t="s">
        <v>271</v>
      </c>
    </row>
    <row r="21" spans="1:3" ht="20.25" customHeight="1" x14ac:dyDescent="0.2">
      <c r="A21" s="208">
        <v>14</v>
      </c>
      <c r="B21" s="356" t="s">
        <v>272</v>
      </c>
      <c r="C21" s="261" t="s">
        <v>273</v>
      </c>
    </row>
    <row r="22" spans="1:3" ht="20.25" customHeight="1" x14ac:dyDescent="0.2">
      <c r="A22" s="357" t="s">
        <v>1416</v>
      </c>
      <c r="B22" s="595" t="s">
        <v>1418</v>
      </c>
      <c r="C22" s="261" t="s">
        <v>1414</v>
      </c>
    </row>
    <row r="23" spans="1:3" ht="20.25" customHeight="1" x14ac:dyDescent="0.2">
      <c r="A23" s="358" t="s">
        <v>1417</v>
      </c>
      <c r="B23" s="595"/>
      <c r="C23" s="261" t="s">
        <v>1419</v>
      </c>
    </row>
    <row r="24" spans="1:3" ht="21" customHeight="1" x14ac:dyDescent="0.2">
      <c r="A24" s="357" t="s">
        <v>1420</v>
      </c>
      <c r="B24" s="595" t="s">
        <v>1422</v>
      </c>
      <c r="C24" s="261" t="s">
        <v>1423</v>
      </c>
    </row>
    <row r="25" spans="1:3" ht="29.25" customHeight="1" x14ac:dyDescent="0.2">
      <c r="A25" s="359" t="s">
        <v>1421</v>
      </c>
      <c r="B25" s="596"/>
      <c r="C25" s="262" t="s">
        <v>1415</v>
      </c>
    </row>
  </sheetData>
  <mergeCells count="4">
    <mergeCell ref="B6:C6"/>
    <mergeCell ref="A5:C5"/>
    <mergeCell ref="B22:B23"/>
    <mergeCell ref="B24:B25"/>
  </mergeCells>
  <phoneticPr fontId="0" type="noConversion"/>
  <hyperlinks>
    <hyperlink ref="B16" location="'9-Prev_HS'!A1" display="Prev_HS" xr:uid="{00000000-0004-0000-0000-000000000000}"/>
    <hyperlink ref="B17" location="'10-New Students'!A1" display="New Students" xr:uid="{00000000-0004-0000-0000-000001000000}"/>
    <hyperlink ref="B18" location="'11-Cr Hr PROD Summary'!A1" display="CR Hr Prod Summary" xr:uid="{00000000-0004-0000-0000-000002000000}"/>
    <hyperlink ref="B8" location="'1-Res_NonRes'!A1" display="Res_NonRes" xr:uid="{00000000-0004-0000-0000-000003000000}"/>
    <hyperlink ref="B9" location="'2- Headcount &amp; CR'!A1" display="Headcount &amp; CR" xr:uid="{00000000-0004-0000-0000-000004000000}"/>
    <hyperlink ref="B10" location="'3-Majors'!A1" display="Majors" xr:uid="{00000000-0004-0000-0000-000005000000}"/>
    <hyperlink ref="B14" location="'7-Ethnic_Gender'!A1" display="Ethnic_Gender" xr:uid="{00000000-0004-0000-0000-000006000000}"/>
    <hyperlink ref="B15" location="'8-FTPT'!A1" display="FTPT" xr:uid="{00000000-0004-0000-0000-000007000000}"/>
    <hyperlink ref="B13" location="'6-MajorsEthnic by Track'!A1" display="Majors by Ethnicity/ concentration/ track/specialization" xr:uid="{00000000-0004-0000-0000-000008000000}"/>
    <hyperlink ref="B19" location="'12-Cr Hr PROD'!A1" display="CR Hr Prod" xr:uid="{00000000-0004-0000-0000-000009000000}"/>
    <hyperlink ref="B20" location="'13-DoubleMajors'!A1" display="Double Majors" xr:uid="{00000000-0004-0000-0000-00000A000000}"/>
    <hyperlink ref="B21" location="'14-DoubleMajorsEthnic'!A1" display="Double Majors by Ethnicity" xr:uid="{00000000-0004-0000-0000-00000B000000}"/>
    <hyperlink ref="B12" location="'5-Majors by Track'!A1" display="Majors by concentration/ track/specialization" xr:uid="{1C704C4F-2F10-4ED8-AE99-310AC2BEA7AB}"/>
    <hyperlink ref="B11" location="'4-MajorsEthnic'!A1" display="Majors by Ethnicity" xr:uid="{B2E21118-6989-4748-9FDB-8774FAB7BFF9}"/>
    <hyperlink ref="B22" location="'16-RetentionProgram'!Print_Titles" display="Retention Rates by College/Program" xr:uid="{D20F21CB-D3C3-4625-B7AC-A3BB2B823049}"/>
    <hyperlink ref="B24" location="'16-RetentionProgram'!Print_Titles" display="Retention Rates by College/Program" xr:uid="{F45DBA2F-E890-4515-9655-ABB90A025BFD}"/>
    <hyperlink ref="B22:B23" location="'15a-RetentionFTFR'!A1" display="Retention Rates-First Time Freshmen" xr:uid="{298D91D5-5DB1-45D7-B8F9-0B56BC44ECD7}"/>
    <hyperlink ref="A22" location="'15a-RetentionFTFR'!A1" display="15a" xr:uid="{978B17D7-497F-4861-A08A-4DD5626F515E}"/>
    <hyperlink ref="A23" location="'15b-RetentionFTFR'!A1" display="15b" xr:uid="{F0D969DD-2151-4266-9118-CD024F0ED67D}"/>
    <hyperlink ref="A24" location="'16a-RetentionTransfer'!A1" display="16a" xr:uid="{8FD9E16C-5830-423A-8789-B4C3418B137D}"/>
    <hyperlink ref="A25" location="'16b-RetentionTransfer'!A1" display="16b" xr:uid="{A6FA14C3-8B37-4B15-8FF6-D35ACA44200C}"/>
    <hyperlink ref="B24:B25" location="'16a-RetentionTransfer'!A1" display="Retention Rates-First Time Transfer Students" xr:uid="{A8763291-D118-4FB3-9C96-1A9D2EA8D940}"/>
  </hyperlinks>
  <pageMargins left="0.5" right="0.5" top="1" bottom="1" header="0.5" footer="0.5"/>
  <pageSetup scale="93" firstPageNumber="0" orientation="landscape" r:id="rId1"/>
  <headerFooter alignWithMargins="0">
    <oddHeader>&amp;ROctober 2022</oddHeader>
    <oddFooter>&amp;CPage &amp;P of &amp;N&amp;R&amp;8&amp;F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theme="6"/>
    <pageSetUpPr fitToPage="1"/>
  </sheetPr>
  <dimension ref="A1:I49"/>
  <sheetViews>
    <sheetView zoomScaleNormal="100" zoomScalePageLayoutView="80" workbookViewId="0">
      <selection activeCell="A114" sqref="A114:XFD114"/>
    </sheetView>
  </sheetViews>
  <sheetFormatPr defaultColWidth="8.85546875" defaultRowHeight="12.75" x14ac:dyDescent="0.2"/>
  <cols>
    <col min="1" max="1" width="8" style="29" customWidth="1"/>
    <col min="2" max="2" width="8.140625" style="29" customWidth="1"/>
    <col min="3" max="3" width="46.7109375" style="30" customWidth="1"/>
    <col min="4" max="4" width="11.85546875" style="31" customWidth="1"/>
    <col min="5" max="5" width="6.28515625" style="29" customWidth="1"/>
    <col min="6" max="6" width="8.85546875" style="29"/>
    <col min="7" max="7" width="7.85546875" style="29" customWidth="1"/>
    <col min="8" max="9" width="0" style="29" hidden="1" customWidth="1"/>
    <col min="10" max="16384" width="8.85546875" style="29"/>
  </cols>
  <sheetData>
    <row r="1" spans="1:9" ht="18.75" x14ac:dyDescent="0.3">
      <c r="B1" s="28"/>
    </row>
    <row r="2" spans="1:9" ht="15.75" x14ac:dyDescent="0.25">
      <c r="B2" s="26"/>
      <c r="D2" s="132" t="s">
        <v>98</v>
      </c>
    </row>
    <row r="3" spans="1:9" x14ac:dyDescent="0.2">
      <c r="B3" s="27"/>
    </row>
    <row r="4" spans="1:9" x14ac:dyDescent="0.2">
      <c r="B4" s="27"/>
    </row>
    <row r="5" spans="1:9" ht="14.25" customHeight="1" x14ac:dyDescent="0.25">
      <c r="A5" s="689" t="s">
        <v>216</v>
      </c>
      <c r="B5" s="689"/>
      <c r="C5" s="689"/>
      <c r="D5" s="689"/>
      <c r="E5" s="689"/>
      <c r="F5" s="689"/>
      <c r="G5" s="689"/>
    </row>
    <row r="6" spans="1:9" ht="15" customHeight="1" x14ac:dyDescent="0.2">
      <c r="A6" s="692" t="s">
        <v>65</v>
      </c>
      <c r="B6" s="690" t="s">
        <v>76</v>
      </c>
      <c r="C6" s="256"/>
      <c r="D6" s="690" t="s">
        <v>75</v>
      </c>
      <c r="E6" s="690" t="s">
        <v>73</v>
      </c>
      <c r="F6" s="664" t="s">
        <v>71</v>
      </c>
      <c r="G6" s="665"/>
      <c r="H6" s="29" t="s">
        <v>213</v>
      </c>
      <c r="I6" s="135"/>
    </row>
    <row r="7" spans="1:9" x14ac:dyDescent="0.2">
      <c r="A7" s="693"/>
      <c r="B7" s="691"/>
      <c r="C7" s="257" t="s">
        <v>695</v>
      </c>
      <c r="D7" s="691"/>
      <c r="E7" s="691"/>
      <c r="F7" s="21" t="s">
        <v>82</v>
      </c>
      <c r="G7" s="21" t="s">
        <v>81</v>
      </c>
      <c r="H7" s="29" t="s">
        <v>65</v>
      </c>
      <c r="I7" s="29" t="s">
        <v>214</v>
      </c>
    </row>
    <row r="8" spans="1:9" ht="16.5" customHeight="1" x14ac:dyDescent="0.2">
      <c r="A8" s="273" t="s">
        <v>1435</v>
      </c>
      <c r="B8" s="273" t="s">
        <v>1435</v>
      </c>
      <c r="C8" s="138" t="s">
        <v>680</v>
      </c>
      <c r="D8" s="258">
        <f>F8+G8</f>
        <v>42</v>
      </c>
      <c r="E8" s="259">
        <f t="shared" ref="E8:E46" si="0">D8/$D$47</f>
        <v>9.2307692307692313E-2</v>
      </c>
      <c r="F8" s="258">
        <v>0</v>
      </c>
      <c r="G8" s="258">
        <v>42</v>
      </c>
      <c r="H8" s="29" t="s">
        <v>215</v>
      </c>
      <c r="I8" s="29" t="s">
        <v>215</v>
      </c>
    </row>
    <row r="9" spans="1:9" ht="16.5" customHeight="1" x14ac:dyDescent="0.2">
      <c r="A9" s="314" t="s">
        <v>1435</v>
      </c>
      <c r="B9" s="314" t="s">
        <v>1435</v>
      </c>
      <c r="C9" s="291" t="s">
        <v>1443</v>
      </c>
      <c r="D9" s="258">
        <f t="shared" ref="D9:D46" si="1">F9+G9</f>
        <v>1</v>
      </c>
      <c r="E9" s="259">
        <f t="shared" si="0"/>
        <v>2.1978021978021978E-3</v>
      </c>
      <c r="F9" s="292">
        <v>1</v>
      </c>
      <c r="G9" s="292">
        <v>0</v>
      </c>
    </row>
    <row r="10" spans="1:9" ht="16.5" customHeight="1" x14ac:dyDescent="0.2">
      <c r="A10" s="314" t="s">
        <v>1435</v>
      </c>
      <c r="B10" s="314" t="s">
        <v>1435</v>
      </c>
      <c r="C10" s="291" t="s">
        <v>1444</v>
      </c>
      <c r="D10" s="258">
        <f t="shared" si="1"/>
        <v>1</v>
      </c>
      <c r="E10" s="259">
        <f t="shared" si="0"/>
        <v>2.1978021978021978E-3</v>
      </c>
      <c r="F10" s="292">
        <v>1</v>
      </c>
      <c r="G10" s="292">
        <v>0</v>
      </c>
    </row>
    <row r="11" spans="1:9" ht="16.5" customHeight="1" x14ac:dyDescent="0.2">
      <c r="A11" s="314" t="s">
        <v>1435</v>
      </c>
      <c r="B11" s="314" t="s">
        <v>1435</v>
      </c>
      <c r="C11" s="291" t="s">
        <v>1457</v>
      </c>
      <c r="D11" s="258">
        <f t="shared" si="1"/>
        <v>1</v>
      </c>
      <c r="E11" s="259">
        <f t="shared" si="0"/>
        <v>2.1978021978021978E-3</v>
      </c>
      <c r="F11" s="292">
        <v>0</v>
      </c>
      <c r="G11" s="292">
        <v>1</v>
      </c>
    </row>
    <row r="12" spans="1:9" ht="16.5" customHeight="1" x14ac:dyDescent="0.2">
      <c r="A12" s="314" t="s">
        <v>1435</v>
      </c>
      <c r="B12" s="314" t="s">
        <v>1435</v>
      </c>
      <c r="C12" s="291" t="s">
        <v>681</v>
      </c>
      <c r="D12" s="258">
        <f t="shared" si="1"/>
        <v>2</v>
      </c>
      <c r="E12" s="259">
        <f t="shared" si="0"/>
        <v>4.3956043956043956E-3</v>
      </c>
      <c r="F12" s="292">
        <v>0</v>
      </c>
      <c r="G12" s="292">
        <v>2</v>
      </c>
    </row>
    <row r="13" spans="1:9" ht="16.5" customHeight="1" x14ac:dyDescent="0.2">
      <c r="A13" s="314" t="s">
        <v>1435</v>
      </c>
      <c r="B13" s="314" t="s">
        <v>1435</v>
      </c>
      <c r="C13" s="291" t="s">
        <v>682</v>
      </c>
      <c r="D13" s="258">
        <f t="shared" si="1"/>
        <v>19</v>
      </c>
      <c r="E13" s="259">
        <f t="shared" si="0"/>
        <v>4.1758241758241756E-2</v>
      </c>
      <c r="F13" s="292">
        <v>10</v>
      </c>
      <c r="G13" s="292">
        <v>9</v>
      </c>
    </row>
    <row r="14" spans="1:9" ht="16.5" customHeight="1" x14ac:dyDescent="0.2">
      <c r="A14" s="314" t="s">
        <v>1435</v>
      </c>
      <c r="B14" s="314" t="s">
        <v>1435</v>
      </c>
      <c r="C14" s="291" t="s">
        <v>683</v>
      </c>
      <c r="D14" s="258">
        <f t="shared" si="1"/>
        <v>1</v>
      </c>
      <c r="E14" s="259">
        <f t="shared" si="0"/>
        <v>2.1978021978021978E-3</v>
      </c>
      <c r="F14" s="292">
        <v>0</v>
      </c>
      <c r="G14" s="292">
        <v>1</v>
      </c>
    </row>
    <row r="15" spans="1:9" ht="16.5" customHeight="1" x14ac:dyDescent="0.2">
      <c r="A15" s="314" t="s">
        <v>1435</v>
      </c>
      <c r="B15" s="314" t="s">
        <v>1435</v>
      </c>
      <c r="C15" s="291" t="s">
        <v>1445</v>
      </c>
      <c r="D15" s="258">
        <f t="shared" si="1"/>
        <v>1</v>
      </c>
      <c r="E15" s="259">
        <f t="shared" si="0"/>
        <v>2.1978021978021978E-3</v>
      </c>
      <c r="F15" s="292">
        <v>1</v>
      </c>
      <c r="G15" s="292">
        <v>0</v>
      </c>
    </row>
    <row r="16" spans="1:9" ht="16.5" customHeight="1" x14ac:dyDescent="0.2">
      <c r="A16" s="314" t="s">
        <v>1435</v>
      </c>
      <c r="B16" s="314" t="s">
        <v>1435</v>
      </c>
      <c r="C16" s="291" t="s">
        <v>350</v>
      </c>
      <c r="D16" s="258">
        <f t="shared" si="1"/>
        <v>36</v>
      </c>
      <c r="E16" s="259">
        <f t="shared" si="0"/>
        <v>7.9120879120879117E-2</v>
      </c>
      <c r="F16" s="292">
        <v>36</v>
      </c>
      <c r="G16" s="292">
        <v>0</v>
      </c>
    </row>
    <row r="17" spans="1:7" ht="16.5" customHeight="1" x14ac:dyDescent="0.2">
      <c r="A17" s="315" t="s">
        <v>1435</v>
      </c>
      <c r="B17" s="315" t="s">
        <v>1435</v>
      </c>
      <c r="C17" s="316" t="s">
        <v>341</v>
      </c>
      <c r="D17" s="277">
        <f t="shared" si="1"/>
        <v>47</v>
      </c>
      <c r="E17" s="278">
        <f t="shared" si="0"/>
        <v>0.10329670329670329</v>
      </c>
      <c r="F17" s="317">
        <v>14</v>
      </c>
      <c r="G17" s="317">
        <v>33</v>
      </c>
    </row>
    <row r="18" spans="1:7" ht="16.5" customHeight="1" x14ac:dyDescent="0.2">
      <c r="A18" s="314" t="s">
        <v>1435</v>
      </c>
      <c r="B18" s="314" t="s">
        <v>1435</v>
      </c>
      <c r="C18" s="291" t="s">
        <v>684</v>
      </c>
      <c r="D18" s="258">
        <f t="shared" si="1"/>
        <v>1</v>
      </c>
      <c r="E18" s="259">
        <f t="shared" si="0"/>
        <v>2.1978021978021978E-3</v>
      </c>
      <c r="F18" s="292">
        <v>1</v>
      </c>
      <c r="G18" s="292">
        <v>0</v>
      </c>
    </row>
    <row r="19" spans="1:7" ht="16.5" customHeight="1" x14ac:dyDescent="0.2">
      <c r="A19" s="314" t="s">
        <v>1435</v>
      </c>
      <c r="B19" s="314" t="s">
        <v>1435</v>
      </c>
      <c r="C19" s="291" t="s">
        <v>351</v>
      </c>
      <c r="D19" s="258">
        <f t="shared" si="1"/>
        <v>4</v>
      </c>
      <c r="E19" s="259">
        <f t="shared" si="0"/>
        <v>8.7912087912087912E-3</v>
      </c>
      <c r="F19" s="292">
        <v>2</v>
      </c>
      <c r="G19" s="292">
        <v>2</v>
      </c>
    </row>
    <row r="20" spans="1:7" ht="16.5" customHeight="1" x14ac:dyDescent="0.2">
      <c r="A20" s="314" t="s">
        <v>1435</v>
      </c>
      <c r="B20" s="314" t="s">
        <v>1435</v>
      </c>
      <c r="C20" s="291" t="s">
        <v>685</v>
      </c>
      <c r="D20" s="258">
        <f t="shared" si="1"/>
        <v>2</v>
      </c>
      <c r="E20" s="259">
        <f t="shared" si="0"/>
        <v>4.3956043956043956E-3</v>
      </c>
      <c r="F20" s="292">
        <v>1</v>
      </c>
      <c r="G20" s="292">
        <v>1</v>
      </c>
    </row>
    <row r="21" spans="1:7" ht="16.5" customHeight="1" x14ac:dyDescent="0.2">
      <c r="A21" s="314" t="s">
        <v>1435</v>
      </c>
      <c r="B21" s="314" t="s">
        <v>1435</v>
      </c>
      <c r="C21" s="291" t="s">
        <v>686</v>
      </c>
      <c r="D21" s="258">
        <f t="shared" si="1"/>
        <v>10</v>
      </c>
      <c r="E21" s="259">
        <f t="shared" si="0"/>
        <v>2.197802197802198E-2</v>
      </c>
      <c r="F21" s="292">
        <v>4</v>
      </c>
      <c r="G21" s="292">
        <v>6</v>
      </c>
    </row>
    <row r="22" spans="1:7" ht="16.5" customHeight="1" x14ac:dyDescent="0.2">
      <c r="A22" s="314" t="s">
        <v>1435</v>
      </c>
      <c r="B22" s="314" t="s">
        <v>1435</v>
      </c>
      <c r="C22" s="291" t="s">
        <v>462</v>
      </c>
      <c r="D22" s="258">
        <f t="shared" si="1"/>
        <v>1</v>
      </c>
      <c r="E22" s="259">
        <f t="shared" si="0"/>
        <v>2.1978021978021978E-3</v>
      </c>
      <c r="F22" s="292">
        <v>1</v>
      </c>
      <c r="G22" s="292">
        <v>0</v>
      </c>
    </row>
    <row r="23" spans="1:7" ht="16.5" customHeight="1" x14ac:dyDescent="0.2">
      <c r="A23" s="315" t="s">
        <v>1435</v>
      </c>
      <c r="B23" s="315" t="s">
        <v>1435</v>
      </c>
      <c r="C23" s="316" t="s">
        <v>342</v>
      </c>
      <c r="D23" s="277">
        <f t="shared" si="1"/>
        <v>63</v>
      </c>
      <c r="E23" s="278">
        <f t="shared" si="0"/>
        <v>0.13846153846153847</v>
      </c>
      <c r="F23" s="317">
        <v>30</v>
      </c>
      <c r="G23" s="317">
        <v>33</v>
      </c>
    </row>
    <row r="24" spans="1:7" ht="16.5" customHeight="1" x14ac:dyDescent="0.2">
      <c r="A24" s="314" t="s">
        <v>1435</v>
      </c>
      <c r="B24" s="314" t="s">
        <v>1435</v>
      </c>
      <c r="C24" s="291" t="s">
        <v>1446</v>
      </c>
      <c r="D24" s="258">
        <f t="shared" si="1"/>
        <v>3</v>
      </c>
      <c r="E24" s="259">
        <f t="shared" si="0"/>
        <v>6.5934065934065934E-3</v>
      </c>
      <c r="F24" s="292">
        <v>2</v>
      </c>
      <c r="G24" s="292">
        <v>1</v>
      </c>
    </row>
    <row r="25" spans="1:7" ht="16.5" customHeight="1" x14ac:dyDescent="0.2">
      <c r="A25" s="314" t="s">
        <v>1435</v>
      </c>
      <c r="B25" s="314" t="s">
        <v>1435</v>
      </c>
      <c r="C25" s="291" t="s">
        <v>687</v>
      </c>
      <c r="D25" s="258">
        <f t="shared" si="1"/>
        <v>6</v>
      </c>
      <c r="E25" s="259">
        <f t="shared" si="0"/>
        <v>1.3186813186813187E-2</v>
      </c>
      <c r="F25" s="292">
        <v>4</v>
      </c>
      <c r="G25" s="292">
        <v>2</v>
      </c>
    </row>
    <row r="26" spans="1:7" ht="16.5" customHeight="1" x14ac:dyDescent="0.2">
      <c r="A26" s="525" t="s">
        <v>1435</v>
      </c>
      <c r="B26" s="525" t="s">
        <v>1435</v>
      </c>
      <c r="C26" s="526" t="s">
        <v>1447</v>
      </c>
      <c r="D26" s="527">
        <f t="shared" si="1"/>
        <v>2</v>
      </c>
      <c r="E26" s="528">
        <f t="shared" si="0"/>
        <v>4.3956043956043956E-3</v>
      </c>
      <c r="F26" s="527">
        <v>1</v>
      </c>
      <c r="G26" s="527">
        <v>1</v>
      </c>
    </row>
    <row r="27" spans="1:7" s="31" customFormat="1" ht="16.5" customHeight="1" x14ac:dyDescent="0.2">
      <c r="A27" s="314" t="s">
        <v>1435</v>
      </c>
      <c r="B27" s="314" t="s">
        <v>1435</v>
      </c>
      <c r="C27" s="524" t="s">
        <v>1448</v>
      </c>
      <c r="D27" s="292">
        <f t="shared" si="1"/>
        <v>3</v>
      </c>
      <c r="E27" s="523">
        <f t="shared" si="0"/>
        <v>6.5934065934065934E-3</v>
      </c>
      <c r="F27" s="292">
        <v>3</v>
      </c>
      <c r="G27" s="292">
        <v>0</v>
      </c>
    </row>
    <row r="28" spans="1:7" ht="16.5" customHeight="1" x14ac:dyDescent="0.2">
      <c r="A28" s="529" t="s">
        <v>1435</v>
      </c>
      <c r="B28" s="529" t="s">
        <v>1435</v>
      </c>
      <c r="C28" s="530" t="s">
        <v>352</v>
      </c>
      <c r="D28" s="531">
        <f t="shared" si="1"/>
        <v>17</v>
      </c>
      <c r="E28" s="532">
        <f t="shared" si="0"/>
        <v>3.7362637362637362E-2</v>
      </c>
      <c r="F28" s="531">
        <v>6</v>
      </c>
      <c r="G28" s="531">
        <v>11</v>
      </c>
    </row>
    <row r="29" spans="1:7" ht="16.5" customHeight="1" x14ac:dyDescent="0.2">
      <c r="A29" s="315" t="s">
        <v>1435</v>
      </c>
      <c r="B29" s="315" t="s">
        <v>1435</v>
      </c>
      <c r="C29" s="316" t="s">
        <v>343</v>
      </c>
      <c r="D29" s="277">
        <f t="shared" si="1"/>
        <v>53</v>
      </c>
      <c r="E29" s="278">
        <f t="shared" si="0"/>
        <v>0.11648351648351649</v>
      </c>
      <c r="F29" s="317">
        <v>21</v>
      </c>
      <c r="G29" s="317">
        <v>32</v>
      </c>
    </row>
    <row r="30" spans="1:7" ht="16.5" customHeight="1" x14ac:dyDescent="0.2">
      <c r="A30" s="314" t="s">
        <v>1435</v>
      </c>
      <c r="B30" s="314" t="s">
        <v>1435</v>
      </c>
      <c r="C30" s="291" t="s">
        <v>688</v>
      </c>
      <c r="D30" s="258">
        <f t="shared" si="1"/>
        <v>3</v>
      </c>
      <c r="E30" s="259">
        <f t="shared" si="0"/>
        <v>6.5934065934065934E-3</v>
      </c>
      <c r="F30" s="292">
        <v>1</v>
      </c>
      <c r="G30" s="292">
        <v>2</v>
      </c>
    </row>
    <row r="31" spans="1:7" ht="16.5" customHeight="1" x14ac:dyDescent="0.2">
      <c r="A31" s="314" t="s">
        <v>1435</v>
      </c>
      <c r="B31" s="314" t="s">
        <v>1435</v>
      </c>
      <c r="C31" s="291" t="s">
        <v>463</v>
      </c>
      <c r="D31" s="258">
        <f t="shared" si="1"/>
        <v>8</v>
      </c>
      <c r="E31" s="259">
        <f t="shared" si="0"/>
        <v>1.7582417582417582E-2</v>
      </c>
      <c r="F31" s="292">
        <v>6</v>
      </c>
      <c r="G31" s="292">
        <v>2</v>
      </c>
    </row>
    <row r="32" spans="1:7" ht="16.5" customHeight="1" x14ac:dyDescent="0.2">
      <c r="A32" s="314" t="s">
        <v>1435</v>
      </c>
      <c r="B32" s="314" t="s">
        <v>1435</v>
      </c>
      <c r="C32" s="291" t="s">
        <v>1449</v>
      </c>
      <c r="D32" s="258">
        <f t="shared" si="1"/>
        <v>1</v>
      </c>
      <c r="E32" s="259">
        <f t="shared" si="0"/>
        <v>2.1978021978021978E-3</v>
      </c>
      <c r="F32" s="292">
        <v>0</v>
      </c>
      <c r="G32" s="292">
        <v>1</v>
      </c>
    </row>
    <row r="33" spans="1:9" ht="16.5" customHeight="1" x14ac:dyDescent="0.2">
      <c r="A33" s="314" t="s">
        <v>1435</v>
      </c>
      <c r="B33" s="314" t="s">
        <v>1435</v>
      </c>
      <c r="C33" s="291" t="s">
        <v>353</v>
      </c>
      <c r="D33" s="258">
        <f t="shared" si="1"/>
        <v>15</v>
      </c>
      <c r="E33" s="259">
        <f t="shared" si="0"/>
        <v>3.2967032967032968E-2</v>
      </c>
      <c r="F33" s="292">
        <v>9</v>
      </c>
      <c r="G33" s="292">
        <v>6</v>
      </c>
    </row>
    <row r="34" spans="1:9" ht="16.5" customHeight="1" x14ac:dyDescent="0.2">
      <c r="A34" s="314" t="s">
        <v>1435</v>
      </c>
      <c r="B34" s="314" t="s">
        <v>1435</v>
      </c>
      <c r="C34" s="291" t="s">
        <v>689</v>
      </c>
      <c r="D34" s="258">
        <f t="shared" si="1"/>
        <v>2</v>
      </c>
      <c r="E34" s="259">
        <f t="shared" si="0"/>
        <v>4.3956043956043956E-3</v>
      </c>
      <c r="F34" s="292">
        <v>1</v>
      </c>
      <c r="G34" s="292">
        <v>1</v>
      </c>
    </row>
    <row r="35" spans="1:9" ht="16.5" customHeight="1" x14ac:dyDescent="0.2">
      <c r="A35" s="314" t="s">
        <v>1435</v>
      </c>
      <c r="B35" s="314" t="s">
        <v>1435</v>
      </c>
      <c r="C35" s="291" t="s">
        <v>1450</v>
      </c>
      <c r="D35" s="258">
        <f t="shared" si="1"/>
        <v>2</v>
      </c>
      <c r="E35" s="259">
        <f t="shared" si="0"/>
        <v>4.3956043956043956E-3</v>
      </c>
      <c r="F35" s="292">
        <v>0</v>
      </c>
      <c r="G35" s="292">
        <v>2</v>
      </c>
    </row>
    <row r="36" spans="1:9" ht="16.5" customHeight="1" x14ac:dyDescent="0.2">
      <c r="A36" s="314" t="s">
        <v>1435</v>
      </c>
      <c r="B36" s="314" t="s">
        <v>1435</v>
      </c>
      <c r="C36" s="291" t="s">
        <v>690</v>
      </c>
      <c r="D36" s="258">
        <f t="shared" si="1"/>
        <v>2</v>
      </c>
      <c r="E36" s="259">
        <f t="shared" si="0"/>
        <v>4.3956043956043956E-3</v>
      </c>
      <c r="F36" s="292">
        <v>0</v>
      </c>
      <c r="G36" s="292">
        <v>2</v>
      </c>
    </row>
    <row r="37" spans="1:9" ht="16.5" customHeight="1" x14ac:dyDescent="0.2">
      <c r="A37" s="315" t="s">
        <v>1435</v>
      </c>
      <c r="B37" s="315" t="s">
        <v>1435</v>
      </c>
      <c r="C37" s="316" t="s">
        <v>344</v>
      </c>
      <c r="D37" s="277">
        <f t="shared" si="1"/>
        <v>39</v>
      </c>
      <c r="E37" s="278">
        <f t="shared" si="0"/>
        <v>8.5714285714285715E-2</v>
      </c>
      <c r="F37" s="317">
        <v>21</v>
      </c>
      <c r="G37" s="317">
        <v>18</v>
      </c>
    </row>
    <row r="38" spans="1:9" ht="16.5" customHeight="1" x14ac:dyDescent="0.2">
      <c r="A38" s="315" t="s">
        <v>1435</v>
      </c>
      <c r="B38" s="315" t="s">
        <v>1435</v>
      </c>
      <c r="C38" s="316" t="s">
        <v>345</v>
      </c>
      <c r="D38" s="277">
        <f t="shared" si="1"/>
        <v>22</v>
      </c>
      <c r="E38" s="278">
        <f t="shared" si="0"/>
        <v>4.8351648351648353E-2</v>
      </c>
      <c r="F38" s="317">
        <v>9</v>
      </c>
      <c r="G38" s="317">
        <v>13</v>
      </c>
    </row>
    <row r="39" spans="1:9" ht="16.5" customHeight="1" x14ac:dyDescent="0.2">
      <c r="A39" s="314" t="s">
        <v>1435</v>
      </c>
      <c r="B39" s="314" t="s">
        <v>1435</v>
      </c>
      <c r="C39" s="291" t="s">
        <v>691</v>
      </c>
      <c r="D39" s="258">
        <f t="shared" si="1"/>
        <v>1</v>
      </c>
      <c r="E39" s="259">
        <f t="shared" si="0"/>
        <v>2.1978021978021978E-3</v>
      </c>
      <c r="F39" s="292">
        <v>0</v>
      </c>
      <c r="G39" s="292">
        <v>1</v>
      </c>
    </row>
    <row r="40" spans="1:9" ht="16.5" customHeight="1" x14ac:dyDescent="0.2">
      <c r="A40" s="314" t="s">
        <v>1435</v>
      </c>
      <c r="B40" s="314" t="s">
        <v>1435</v>
      </c>
      <c r="C40" s="291" t="s">
        <v>692</v>
      </c>
      <c r="D40" s="258">
        <f t="shared" si="1"/>
        <v>3</v>
      </c>
      <c r="E40" s="259">
        <f t="shared" si="0"/>
        <v>6.5934065934065934E-3</v>
      </c>
      <c r="F40" s="292">
        <v>1</v>
      </c>
      <c r="G40" s="292">
        <v>2</v>
      </c>
    </row>
    <row r="41" spans="1:9" ht="16.5" customHeight="1" x14ac:dyDescent="0.2">
      <c r="A41" s="315" t="s">
        <v>1435</v>
      </c>
      <c r="B41" s="315" t="s">
        <v>1435</v>
      </c>
      <c r="C41" s="316" t="s">
        <v>354</v>
      </c>
      <c r="D41" s="277">
        <f t="shared" si="1"/>
        <v>24</v>
      </c>
      <c r="E41" s="278">
        <f t="shared" si="0"/>
        <v>5.2747252747252747E-2</v>
      </c>
      <c r="F41" s="317">
        <v>12</v>
      </c>
      <c r="G41" s="317">
        <v>12</v>
      </c>
    </row>
    <row r="42" spans="1:9" ht="16.899999999999999" customHeight="1" x14ac:dyDescent="0.2">
      <c r="A42" s="273" t="s">
        <v>1435</v>
      </c>
      <c r="B42" s="273" t="s">
        <v>1435</v>
      </c>
      <c r="C42" s="138" t="s">
        <v>1452</v>
      </c>
      <c r="D42" s="258">
        <f t="shared" si="1"/>
        <v>1</v>
      </c>
      <c r="E42" s="259">
        <f t="shared" si="0"/>
        <v>2.1978021978021978E-3</v>
      </c>
      <c r="F42" s="258">
        <v>1</v>
      </c>
      <c r="G42" s="258">
        <v>0</v>
      </c>
      <c r="H42" s="29" t="s">
        <v>215</v>
      </c>
      <c r="I42" s="29" t="s">
        <v>215</v>
      </c>
    </row>
    <row r="43" spans="1:9" ht="16.149999999999999" customHeight="1" x14ac:dyDescent="0.2">
      <c r="A43" s="273" t="s">
        <v>1435</v>
      </c>
      <c r="B43" s="273" t="s">
        <v>1435</v>
      </c>
      <c r="C43" s="138" t="s">
        <v>1451</v>
      </c>
      <c r="D43" s="258">
        <f t="shared" si="1"/>
        <v>1</v>
      </c>
      <c r="E43" s="259">
        <f t="shared" si="0"/>
        <v>2.1978021978021978E-3</v>
      </c>
      <c r="F43" s="258">
        <v>0</v>
      </c>
      <c r="G43" s="258">
        <v>1</v>
      </c>
    </row>
    <row r="44" spans="1:9" ht="15.75" customHeight="1" x14ac:dyDescent="0.2">
      <c r="A44" s="273" t="s">
        <v>1435</v>
      </c>
      <c r="B44" s="273" t="s">
        <v>1435</v>
      </c>
      <c r="C44" s="138" t="s">
        <v>693</v>
      </c>
      <c r="D44" s="258">
        <f t="shared" si="1"/>
        <v>1</v>
      </c>
      <c r="E44" s="259">
        <f t="shared" si="0"/>
        <v>2.1978021978021978E-3</v>
      </c>
      <c r="F44" s="258">
        <v>0</v>
      </c>
      <c r="G44" s="258">
        <v>1</v>
      </c>
      <c r="H44" s="29" t="s">
        <v>215</v>
      </c>
      <c r="I44" s="29" t="s">
        <v>215</v>
      </c>
    </row>
    <row r="45" spans="1:9" ht="15.75" customHeight="1" x14ac:dyDescent="0.2">
      <c r="A45" s="273" t="s">
        <v>1435</v>
      </c>
      <c r="B45" s="273" t="s">
        <v>1435</v>
      </c>
      <c r="C45" s="291" t="s">
        <v>355</v>
      </c>
      <c r="D45" s="258">
        <f t="shared" si="1"/>
        <v>2</v>
      </c>
      <c r="E45" s="259">
        <f t="shared" si="0"/>
        <v>4.3956043956043956E-3</v>
      </c>
      <c r="F45" s="292">
        <v>1</v>
      </c>
      <c r="G45" s="292">
        <v>1</v>
      </c>
    </row>
    <row r="46" spans="1:9" ht="15.75" customHeight="1" x14ac:dyDescent="0.2">
      <c r="A46" s="273" t="s">
        <v>1435</v>
      </c>
      <c r="B46" s="273" t="s">
        <v>1435</v>
      </c>
      <c r="C46" s="138" t="s">
        <v>694</v>
      </c>
      <c r="D46" s="258">
        <f t="shared" si="1"/>
        <v>12</v>
      </c>
      <c r="E46" s="259">
        <f t="shared" si="0"/>
        <v>2.6373626373626374E-2</v>
      </c>
      <c r="F46" s="258">
        <v>7</v>
      </c>
      <c r="G46" s="258">
        <v>5</v>
      </c>
    </row>
    <row r="47" spans="1:9" ht="15.75" customHeight="1" x14ac:dyDescent="0.2">
      <c r="A47" s="137" t="s">
        <v>178</v>
      </c>
      <c r="B47" s="126"/>
      <c r="C47" s="126"/>
      <c r="D47" s="106">
        <f>SUM(D8:D46)</f>
        <v>455</v>
      </c>
      <c r="E47" s="107">
        <f>SUM(E8:E46)</f>
        <v>0.99999999999999989</v>
      </c>
      <c r="F47" s="106">
        <f>SUM(F8:F46)</f>
        <v>208</v>
      </c>
      <c r="G47" s="106">
        <f>SUM(G8:G46)</f>
        <v>247</v>
      </c>
      <c r="H47" s="29" t="s">
        <v>215</v>
      </c>
      <c r="I47" s="29" t="s">
        <v>215</v>
      </c>
    </row>
    <row r="48" spans="1:9" x14ac:dyDescent="0.2">
      <c r="F48" s="272">
        <f>F47/D47</f>
        <v>0.45714285714285713</v>
      </c>
      <c r="G48" s="272">
        <f>G47/D47</f>
        <v>0.54285714285714282</v>
      </c>
      <c r="H48" s="29" t="s">
        <v>215</v>
      </c>
      <c r="I48" s="29" t="s">
        <v>215</v>
      </c>
    </row>
    <row r="49" spans="1:1" x14ac:dyDescent="0.2">
      <c r="A49" s="121" t="s">
        <v>335</v>
      </c>
    </row>
  </sheetData>
  <mergeCells count="6">
    <mergeCell ref="A5:G5"/>
    <mergeCell ref="B6:B7"/>
    <mergeCell ref="A6:A7"/>
    <mergeCell ref="D6:D7"/>
    <mergeCell ref="F6:G6"/>
    <mergeCell ref="E6:E7"/>
  </mergeCells>
  <phoneticPr fontId="0" type="noConversion"/>
  <hyperlinks>
    <hyperlink ref="D2" location="'Table of Contents'!A1" display="Back to Table Of Contents" xr:uid="{00000000-0004-0000-0700-000000000000}"/>
  </hyperlinks>
  <pageMargins left="0.5" right="0.5" top="0.5" bottom="0.5" header="0.5" footer="0.25"/>
  <pageSetup scale="90" orientation="portrait" r:id="rId1"/>
  <headerFooter alignWithMargins="0">
    <oddHeader>&amp;ROctober 2022</oddHeader>
    <oddFooter>&amp;CPage &amp;P of &amp;N&amp;R&amp;8&amp;F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theme="6"/>
  </sheetPr>
  <dimension ref="A1:I25"/>
  <sheetViews>
    <sheetView zoomScaleNormal="100" zoomScalePageLayoutView="80" workbookViewId="0">
      <selection activeCell="F1" sqref="F1"/>
    </sheetView>
  </sheetViews>
  <sheetFormatPr defaultColWidth="8.85546875" defaultRowHeight="12.75" x14ac:dyDescent="0.2"/>
  <cols>
    <col min="1" max="1" width="11.28515625" style="22" customWidth="1"/>
    <col min="2" max="2" width="4.28515625" style="22" hidden="1" customWidth="1"/>
    <col min="3" max="3" width="21.7109375" style="22" customWidth="1"/>
    <col min="4" max="5" width="12" style="22" customWidth="1"/>
    <col min="6" max="6" width="10.140625" style="22" customWidth="1"/>
    <col min="7" max="8" width="12.28515625" style="22" customWidth="1"/>
    <col min="9" max="16384" width="8.85546875" style="22"/>
  </cols>
  <sheetData>
    <row r="1" spans="1:9" ht="18.75" x14ac:dyDescent="0.3">
      <c r="C1" s="33"/>
      <c r="F1" s="13" t="s">
        <v>98</v>
      </c>
    </row>
    <row r="2" spans="1:9" ht="15.75" x14ac:dyDescent="0.25">
      <c r="C2" s="34"/>
    </row>
    <row r="3" spans="1:9" x14ac:dyDescent="0.2">
      <c r="C3" s="35"/>
    </row>
    <row r="4" spans="1:9" x14ac:dyDescent="0.2">
      <c r="A4" s="23"/>
    </row>
    <row r="5" spans="1:9" ht="15.75" x14ac:dyDescent="0.25">
      <c r="A5" s="694" t="s">
        <v>147</v>
      </c>
      <c r="B5" s="694"/>
      <c r="C5" s="694"/>
      <c r="D5" s="694"/>
      <c r="E5" s="694"/>
      <c r="F5" s="694"/>
      <c r="G5" s="694"/>
      <c r="H5" s="694"/>
    </row>
    <row r="7" spans="1:9" ht="38.25" x14ac:dyDescent="0.2">
      <c r="A7" s="36" t="s">
        <v>124</v>
      </c>
      <c r="B7" s="37" t="s">
        <v>78</v>
      </c>
      <c r="C7" s="38" t="s">
        <v>197</v>
      </c>
      <c r="D7" s="40" t="s">
        <v>696</v>
      </c>
      <c r="E7" s="40" t="s">
        <v>1453</v>
      </c>
      <c r="F7" s="39" t="s">
        <v>148</v>
      </c>
      <c r="G7" s="40" t="s">
        <v>1454</v>
      </c>
      <c r="H7" s="40" t="s">
        <v>1455</v>
      </c>
      <c r="I7" s="24"/>
    </row>
    <row r="8" spans="1:9" ht="13.5" customHeight="1" x14ac:dyDescent="0.2">
      <c r="A8" s="41" t="s">
        <v>68</v>
      </c>
      <c r="B8" s="42">
        <v>1</v>
      </c>
      <c r="C8" s="42" t="s">
        <v>191</v>
      </c>
      <c r="D8" s="43">
        <v>417</v>
      </c>
      <c r="E8" s="43">
        <f>SUM(G8:H8)</f>
        <v>455</v>
      </c>
      <c r="F8" s="44">
        <f>IF(D8=0,D8/1,(E8-D8)/D8)</f>
        <v>9.1127098321342928E-2</v>
      </c>
      <c r="G8" s="45">
        <v>208</v>
      </c>
      <c r="H8" s="45">
        <v>247</v>
      </c>
    </row>
    <row r="9" spans="1:9" ht="13.5" customHeight="1" x14ac:dyDescent="0.2">
      <c r="A9" s="41" t="s">
        <v>68</v>
      </c>
      <c r="B9" s="42">
        <v>3</v>
      </c>
      <c r="C9" s="42" t="s">
        <v>192</v>
      </c>
      <c r="D9" s="43">
        <v>111</v>
      </c>
      <c r="E9" s="43">
        <f t="shared" ref="E9:E14" si="0">SUM(G9:H9)</f>
        <v>80</v>
      </c>
      <c r="F9" s="44">
        <f>IF(D9=0,D9/1,(E9-D9)/D9)</f>
        <v>-0.27927927927927926</v>
      </c>
      <c r="G9" s="45">
        <v>29</v>
      </c>
      <c r="H9" s="45">
        <v>51</v>
      </c>
    </row>
    <row r="10" spans="1:9" ht="13.5" customHeight="1" x14ac:dyDescent="0.2">
      <c r="A10" s="41" t="s">
        <v>68</v>
      </c>
      <c r="B10" s="42">
        <v>4</v>
      </c>
      <c r="C10" s="42" t="s">
        <v>193</v>
      </c>
      <c r="D10" s="43">
        <v>7</v>
      </c>
      <c r="E10" s="43">
        <f t="shared" si="0"/>
        <v>5</v>
      </c>
      <c r="F10" s="44">
        <f>IF(D10=0,D10/1,(E10-D10)/D10)</f>
        <v>-0.2857142857142857</v>
      </c>
      <c r="G10" s="45">
        <v>2</v>
      </c>
      <c r="H10" s="45">
        <v>3</v>
      </c>
    </row>
    <row r="11" spans="1:9" ht="13.5" customHeight="1" x14ac:dyDescent="0.2">
      <c r="A11" s="41" t="s">
        <v>68</v>
      </c>
      <c r="B11" s="42"/>
      <c r="C11" s="42" t="s">
        <v>1456</v>
      </c>
      <c r="D11" s="43">
        <v>0</v>
      </c>
      <c r="E11" s="43">
        <f t="shared" si="0"/>
        <v>4</v>
      </c>
      <c r="F11" s="44">
        <f>IF(D11=0,D11/1,(E11-D11)/D11)</f>
        <v>0</v>
      </c>
      <c r="G11" s="45">
        <v>1</v>
      </c>
      <c r="H11" s="45">
        <v>3</v>
      </c>
    </row>
    <row r="12" spans="1:9" x14ac:dyDescent="0.2">
      <c r="A12" s="41" t="s">
        <v>68</v>
      </c>
      <c r="B12" s="42">
        <v>8</v>
      </c>
      <c r="C12" s="42" t="s">
        <v>194</v>
      </c>
      <c r="D12" s="43">
        <v>11</v>
      </c>
      <c r="E12" s="43">
        <f t="shared" si="0"/>
        <v>9</v>
      </c>
      <c r="F12" s="44">
        <f t="shared" ref="F12:F13" si="1">IF(D12=0,D12/1,(E12-D12)/D12)</f>
        <v>-0.18181818181818182</v>
      </c>
      <c r="G12" s="45">
        <v>5</v>
      </c>
      <c r="H12" s="45">
        <v>4</v>
      </c>
    </row>
    <row r="13" spans="1:9" x14ac:dyDescent="0.2">
      <c r="A13" s="41" t="s">
        <v>68</v>
      </c>
      <c r="B13" s="42" t="s">
        <v>84</v>
      </c>
      <c r="C13" s="42" t="s">
        <v>200</v>
      </c>
      <c r="D13" s="43">
        <v>4</v>
      </c>
      <c r="E13" s="43">
        <f t="shared" si="0"/>
        <v>4</v>
      </c>
      <c r="F13" s="44">
        <f t="shared" si="1"/>
        <v>0</v>
      </c>
      <c r="G13" s="45">
        <v>2</v>
      </c>
      <c r="H13" s="45">
        <v>2</v>
      </c>
    </row>
    <row r="14" spans="1:9" ht="15.75" customHeight="1" x14ac:dyDescent="0.2">
      <c r="A14" s="41" t="s">
        <v>68</v>
      </c>
      <c r="B14" s="42" t="s">
        <v>85</v>
      </c>
      <c r="C14" s="42" t="s">
        <v>195</v>
      </c>
      <c r="D14" s="43">
        <v>1</v>
      </c>
      <c r="E14" s="43">
        <f t="shared" si="0"/>
        <v>8</v>
      </c>
      <c r="F14" s="44">
        <f>IF(D14=0,D14/1,(E14-D14)/D14)</f>
        <v>7</v>
      </c>
      <c r="G14" s="45">
        <v>4</v>
      </c>
      <c r="H14" s="45">
        <v>4</v>
      </c>
    </row>
    <row r="15" spans="1:9" x14ac:dyDescent="0.2">
      <c r="A15" s="46" t="s">
        <v>198</v>
      </c>
      <c r="B15" s="47"/>
      <c r="C15" s="47"/>
      <c r="D15" s="48">
        <f>SUM(D8:D14)</f>
        <v>551</v>
      </c>
      <c r="E15" s="48">
        <f>SUM(E8:E14)</f>
        <v>565</v>
      </c>
      <c r="F15" s="49">
        <f>IF(D15=0,D15/1,(E15-D15)/D15)</f>
        <v>2.5408348457350273E-2</v>
      </c>
      <c r="G15" s="48">
        <f>SUM(G8:G14)</f>
        <v>251</v>
      </c>
      <c r="H15" s="48">
        <f>SUM(H8:H14)</f>
        <v>314</v>
      </c>
    </row>
    <row r="16" spans="1:9" x14ac:dyDescent="0.2">
      <c r="A16" s="50" t="s">
        <v>125</v>
      </c>
      <c r="B16" s="47"/>
      <c r="C16" s="47"/>
      <c r="D16" s="48"/>
      <c r="E16" s="48"/>
      <c r="F16" s="49"/>
      <c r="G16" s="51">
        <f>G15/E15</f>
        <v>0.44424778761061945</v>
      </c>
      <c r="H16" s="51">
        <f>H15/E15</f>
        <v>0.55575221238938055</v>
      </c>
    </row>
    <row r="17" spans="1:8" x14ac:dyDescent="0.2">
      <c r="A17" s="52"/>
      <c r="B17" s="42"/>
      <c r="C17" s="42"/>
      <c r="D17" s="53"/>
      <c r="E17" s="53"/>
      <c r="F17" s="32"/>
      <c r="G17" s="45"/>
      <c r="H17" s="45"/>
    </row>
    <row r="18" spans="1:8" ht="38.25" x14ac:dyDescent="0.2">
      <c r="A18" s="36" t="s">
        <v>124</v>
      </c>
      <c r="B18" s="37" t="s">
        <v>78</v>
      </c>
      <c r="C18" s="38" t="s">
        <v>197</v>
      </c>
      <c r="D18" s="36" t="str">
        <f>D7</f>
        <v>2021 Fanuchånan</v>
      </c>
      <c r="E18" s="36" t="str">
        <f>E7</f>
        <v>2022 Fanuchånan</v>
      </c>
      <c r="F18" s="39" t="s">
        <v>148</v>
      </c>
      <c r="G18" s="36" t="str">
        <f>G7</f>
        <v>2022 Fanuchånan
Males</v>
      </c>
      <c r="H18" s="36" t="str">
        <f>H7</f>
        <v>2022 Fanuchånan
Females</v>
      </c>
    </row>
    <row r="19" spans="1:8" x14ac:dyDescent="0.2">
      <c r="A19" s="54" t="s">
        <v>67</v>
      </c>
      <c r="B19" s="55" t="s">
        <v>96</v>
      </c>
      <c r="C19" s="55" t="s">
        <v>201</v>
      </c>
      <c r="D19" s="43">
        <v>52</v>
      </c>
      <c r="E19" s="43">
        <f>SUM(G19:H19)</f>
        <v>28</v>
      </c>
      <c r="F19" s="44">
        <f>IF(D19=0,D19/1,(E19-D19)/D19)</f>
        <v>-0.46153846153846156</v>
      </c>
      <c r="G19" s="45">
        <v>9</v>
      </c>
      <c r="H19" s="45">
        <v>19</v>
      </c>
    </row>
    <row r="20" spans="1:8" x14ac:dyDescent="0.2">
      <c r="A20" s="54" t="s">
        <v>67</v>
      </c>
      <c r="B20" s="55" t="s">
        <v>97</v>
      </c>
      <c r="C20" s="55" t="s">
        <v>3</v>
      </c>
      <c r="D20" s="43">
        <v>29</v>
      </c>
      <c r="E20" s="43">
        <f>SUM(G20:H20)</f>
        <v>22</v>
      </c>
      <c r="F20" s="44">
        <f>IF(D20=0,D20/1,(E20-D20)/D20)</f>
        <v>-0.2413793103448276</v>
      </c>
      <c r="G20" s="45">
        <v>7</v>
      </c>
      <c r="H20" s="45">
        <v>15</v>
      </c>
    </row>
    <row r="21" spans="1:8" x14ac:dyDescent="0.2">
      <c r="A21" s="46" t="s">
        <v>199</v>
      </c>
      <c r="B21" s="56"/>
      <c r="C21" s="56"/>
      <c r="D21" s="57">
        <f>D19+D20</f>
        <v>81</v>
      </c>
      <c r="E21" s="57">
        <f>E19+E20</f>
        <v>50</v>
      </c>
      <c r="F21" s="49">
        <f>IF(D21=0,D21/1,(E21-D21)/D21)</f>
        <v>-0.38271604938271603</v>
      </c>
      <c r="G21" s="57">
        <f>G19+G20</f>
        <v>16</v>
      </c>
      <c r="H21" s="57">
        <f>H19+H20</f>
        <v>34</v>
      </c>
    </row>
    <row r="22" spans="1:8" x14ac:dyDescent="0.2">
      <c r="A22" s="50" t="s">
        <v>125</v>
      </c>
      <c r="B22" s="56"/>
      <c r="C22" s="56"/>
      <c r="D22" s="57"/>
      <c r="E22" s="57"/>
      <c r="F22" s="49"/>
      <c r="G22" s="51">
        <f>G21/E21</f>
        <v>0.32</v>
      </c>
      <c r="H22" s="51">
        <f>H21/E21</f>
        <v>0.68</v>
      </c>
    </row>
    <row r="23" spans="1:8" x14ac:dyDescent="0.2">
      <c r="A23" s="45"/>
      <c r="B23" s="45"/>
      <c r="C23" s="45"/>
      <c r="D23" s="43"/>
      <c r="E23" s="43"/>
      <c r="F23" s="43"/>
      <c r="G23" s="43"/>
      <c r="H23" s="43"/>
    </row>
    <row r="24" spans="1:8" x14ac:dyDescent="0.2">
      <c r="A24" s="58" t="s">
        <v>79</v>
      </c>
      <c r="B24" s="59"/>
      <c r="C24" s="59"/>
      <c r="D24" s="60">
        <f>D21+D15</f>
        <v>632</v>
      </c>
      <c r="E24" s="60">
        <f>E21+E15</f>
        <v>615</v>
      </c>
      <c r="F24" s="61">
        <f>IF(D24=0,D24/1,(E24-D24)/D24)</f>
        <v>-2.6898734177215191E-2</v>
      </c>
      <c r="G24" s="60">
        <f>G21+G15</f>
        <v>267</v>
      </c>
      <c r="H24" s="60">
        <f>H21+H15</f>
        <v>348</v>
      </c>
    </row>
    <row r="25" spans="1:8" x14ac:dyDescent="0.2">
      <c r="A25" s="62" t="s">
        <v>125</v>
      </c>
      <c r="B25" s="59"/>
      <c r="C25" s="59"/>
      <c r="D25" s="59"/>
      <c r="E25" s="59"/>
      <c r="F25" s="59"/>
      <c r="G25" s="63">
        <f>G24/E24</f>
        <v>0.43414634146341463</v>
      </c>
      <c r="H25" s="63">
        <f>H24/E24</f>
        <v>0.56585365853658531</v>
      </c>
    </row>
  </sheetData>
  <mergeCells count="1">
    <mergeCell ref="A5:H5"/>
  </mergeCells>
  <hyperlinks>
    <hyperlink ref="F1" location="'Table of Contents'!A1" display="Back to Table Of Contents" xr:uid="{00000000-0004-0000-0800-000000000000}"/>
  </hyperlinks>
  <pageMargins left="0.5" right="0.5" top="0.5" bottom="0.5" header="0.5" footer="0.25"/>
  <pageSetup orientation="portrait" r:id="rId1"/>
  <headerFooter alignWithMargins="0">
    <oddHeader>&amp;ROctober 2022</oddHeader>
    <oddFooter>&amp;CPage &amp;P of &amp;N&amp;R&amp;8&amp;F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7045-A5A3-4F2A-A915-16DC1C42D19D}">
  <sheetPr codeName="Sheet12">
    <tabColor theme="6"/>
  </sheetPr>
  <dimension ref="A1:J108"/>
  <sheetViews>
    <sheetView zoomScaleNormal="100" zoomScalePageLayoutView="80" workbookViewId="0">
      <selection activeCell="J10" sqref="J10"/>
    </sheetView>
  </sheetViews>
  <sheetFormatPr defaultColWidth="8.85546875" defaultRowHeight="12.75" x14ac:dyDescent="0.2"/>
  <cols>
    <col min="1" max="1" width="8.85546875" style="210"/>
    <col min="2" max="2" width="15.85546875" style="210" customWidth="1"/>
    <col min="3" max="4" width="8.85546875" style="210"/>
    <col min="5" max="5" width="28.28515625" style="210" customWidth="1"/>
    <col min="6" max="7" width="10.85546875" style="210" customWidth="1"/>
    <col min="8" max="10" width="13" style="210" customWidth="1"/>
    <col min="11" max="16384" width="8.85546875" style="210"/>
  </cols>
  <sheetData>
    <row r="1" spans="1:10" ht="15" x14ac:dyDescent="0.2">
      <c r="C1" s="229"/>
      <c r="E1" s="15"/>
      <c r="F1" s="15"/>
      <c r="H1" s="13" t="s">
        <v>98</v>
      </c>
    </row>
    <row r="2" spans="1:10" ht="15" customHeight="1" x14ac:dyDescent="0.2">
      <c r="C2" s="229"/>
      <c r="E2" s="15"/>
      <c r="F2" s="15"/>
      <c r="H2" s="230"/>
      <c r="I2" s="231"/>
    </row>
    <row r="3" spans="1:10" x14ac:dyDescent="0.2">
      <c r="C3" s="232"/>
      <c r="E3" s="15"/>
      <c r="F3" s="15"/>
      <c r="H3" s="230"/>
      <c r="I3" s="231"/>
    </row>
    <row r="4" spans="1:10" x14ac:dyDescent="0.2">
      <c r="D4" s="233"/>
      <c r="E4" s="15"/>
      <c r="F4" s="15"/>
      <c r="G4" s="15"/>
      <c r="H4" s="230"/>
      <c r="I4" s="231"/>
    </row>
    <row r="5" spans="1:10" ht="15" x14ac:dyDescent="0.2">
      <c r="A5" s="701" t="s">
        <v>175</v>
      </c>
      <c r="B5" s="701"/>
      <c r="C5" s="701"/>
      <c r="D5" s="701"/>
      <c r="E5" s="701"/>
      <c r="F5" s="701"/>
      <c r="G5" s="701"/>
      <c r="H5" s="701"/>
      <c r="I5" s="701"/>
      <c r="J5" s="701"/>
    </row>
    <row r="6" spans="1:10" ht="15" hidden="1" x14ac:dyDescent="0.2">
      <c r="A6" s="234"/>
      <c r="B6" s="234"/>
      <c r="C6" s="234"/>
      <c r="D6" s="234"/>
      <c r="E6" s="234"/>
      <c r="F6" s="234"/>
      <c r="G6" s="234"/>
      <c r="H6" s="234"/>
      <c r="I6" s="234"/>
    </row>
    <row r="7" spans="1:10" x14ac:dyDescent="0.2">
      <c r="A7" s="702" t="s">
        <v>128</v>
      </c>
      <c r="B7" s="702" t="s">
        <v>183</v>
      </c>
      <c r="C7" s="702" t="s">
        <v>149</v>
      </c>
      <c r="D7" s="702" t="s">
        <v>205</v>
      </c>
      <c r="E7" s="703" t="s">
        <v>157</v>
      </c>
      <c r="F7" s="705" t="s">
        <v>159</v>
      </c>
      <c r="G7" s="705" t="s">
        <v>160</v>
      </c>
      <c r="H7" s="707" t="s">
        <v>8</v>
      </c>
      <c r="I7" s="708"/>
      <c r="J7" s="709"/>
    </row>
    <row r="8" spans="1:10" ht="24" customHeight="1" x14ac:dyDescent="0.2">
      <c r="A8" s="702"/>
      <c r="B8" s="702"/>
      <c r="C8" s="702"/>
      <c r="D8" s="702"/>
      <c r="E8" s="704"/>
      <c r="F8" s="706"/>
      <c r="G8" s="706"/>
      <c r="H8" s="150" t="s">
        <v>129</v>
      </c>
      <c r="I8" s="150" t="s">
        <v>150</v>
      </c>
      <c r="J8" s="202" t="s">
        <v>202</v>
      </c>
    </row>
    <row r="9" spans="1:10" ht="3" customHeight="1" x14ac:dyDescent="0.2">
      <c r="A9" s="243"/>
      <c r="B9" s="243"/>
      <c r="C9" s="243"/>
      <c r="D9" s="243"/>
      <c r="E9" s="243"/>
      <c r="F9" s="243"/>
      <c r="G9" s="243"/>
      <c r="H9" s="243"/>
      <c r="I9" s="243"/>
      <c r="J9" s="243"/>
    </row>
    <row r="10" spans="1:10" ht="18" customHeight="1" x14ac:dyDescent="0.2">
      <c r="A10" s="143" t="s">
        <v>1435</v>
      </c>
      <c r="B10" s="143" t="s">
        <v>218</v>
      </c>
      <c r="C10" s="143" t="s">
        <v>68</v>
      </c>
      <c r="D10" s="218" t="s">
        <v>464</v>
      </c>
      <c r="E10" s="143" t="s">
        <v>702</v>
      </c>
      <c r="F10" s="235">
        <v>155</v>
      </c>
      <c r="G10" s="236">
        <v>469</v>
      </c>
      <c r="H10" s="237">
        <f t="shared" ref="H10:H41" si="0">G10/$G$94</f>
        <v>1.3470148685741432E-2</v>
      </c>
      <c r="I10" s="237">
        <f t="shared" ref="I10:I33" si="1">G10/$G$95</f>
        <v>1.4229053786126704E-2</v>
      </c>
      <c r="J10" s="237">
        <f t="shared" ref="J10:J40" si="2">G10/$G$41</f>
        <v>3.7281399046104925E-2</v>
      </c>
    </row>
    <row r="11" spans="1:10" x14ac:dyDescent="0.2">
      <c r="A11" s="143" t="s">
        <v>1435</v>
      </c>
      <c r="B11" s="143" t="s">
        <v>218</v>
      </c>
      <c r="C11" s="143" t="s">
        <v>68</v>
      </c>
      <c r="D11" s="218" t="s">
        <v>465</v>
      </c>
      <c r="E11" s="143" t="s">
        <v>663</v>
      </c>
      <c r="F11" s="235">
        <v>214</v>
      </c>
      <c r="G11" s="236">
        <v>642</v>
      </c>
      <c r="H11" s="237">
        <f t="shared" si="0"/>
        <v>1.8438881569820896E-2</v>
      </c>
      <c r="I11" s="237">
        <f t="shared" si="1"/>
        <v>1.9477723946041248E-2</v>
      </c>
      <c r="J11" s="237">
        <f t="shared" si="2"/>
        <v>5.1033386327503975E-2</v>
      </c>
    </row>
    <row r="12" spans="1:10" x14ac:dyDescent="0.2">
      <c r="A12" s="143" t="s">
        <v>1435</v>
      </c>
      <c r="B12" s="143" t="s">
        <v>218</v>
      </c>
      <c r="C12" s="143" t="s">
        <v>68</v>
      </c>
      <c r="D12" s="218" t="s">
        <v>467</v>
      </c>
      <c r="E12" s="143" t="s">
        <v>703</v>
      </c>
      <c r="F12" s="235">
        <v>536</v>
      </c>
      <c r="G12" s="236">
        <v>1608</v>
      </c>
      <c r="H12" s="237">
        <f t="shared" si="0"/>
        <v>4.6183366922542053E-2</v>
      </c>
      <c r="I12" s="237">
        <f t="shared" si="1"/>
        <v>4.8785327266720128E-2</v>
      </c>
      <c r="J12" s="237">
        <f t="shared" si="2"/>
        <v>0.12782193958664548</v>
      </c>
    </row>
    <row r="13" spans="1:10" x14ac:dyDescent="0.2">
      <c r="A13" s="143" t="s">
        <v>1435</v>
      </c>
      <c r="B13" s="143" t="s">
        <v>218</v>
      </c>
      <c r="C13" s="143" t="s">
        <v>68</v>
      </c>
      <c r="D13" s="218" t="s">
        <v>468</v>
      </c>
      <c r="E13" s="143" t="s">
        <v>513</v>
      </c>
      <c r="F13" s="235">
        <v>468</v>
      </c>
      <c r="G13" s="236">
        <v>1404</v>
      </c>
      <c r="H13" s="237">
        <f t="shared" si="0"/>
        <v>4.0324283059234481E-2</v>
      </c>
      <c r="I13" s="237">
        <f t="shared" si="1"/>
        <v>4.2596143956763095E-2</v>
      </c>
      <c r="J13" s="237">
        <f t="shared" si="2"/>
        <v>0.11160572337042925</v>
      </c>
    </row>
    <row r="14" spans="1:10" x14ac:dyDescent="0.2">
      <c r="A14" s="143" t="s">
        <v>1435</v>
      </c>
      <c r="B14" s="143" t="s">
        <v>218</v>
      </c>
      <c r="C14" s="143" t="s">
        <v>68</v>
      </c>
      <c r="D14" s="218" t="s">
        <v>469</v>
      </c>
      <c r="E14" s="143" t="s">
        <v>704</v>
      </c>
      <c r="F14" s="235">
        <v>910</v>
      </c>
      <c r="G14" s="236">
        <v>2730</v>
      </c>
      <c r="H14" s="237">
        <f t="shared" si="0"/>
        <v>7.8408328170733718E-2</v>
      </c>
      <c r="I14" s="237">
        <f t="shared" si="1"/>
        <v>8.2825835471483797E-2</v>
      </c>
      <c r="J14" s="237">
        <f t="shared" si="2"/>
        <v>0.21701112877583467</v>
      </c>
    </row>
    <row r="15" spans="1:10" x14ac:dyDescent="0.2">
      <c r="A15" s="143" t="s">
        <v>1435</v>
      </c>
      <c r="B15" s="143" t="s">
        <v>218</v>
      </c>
      <c r="C15" s="143" t="s">
        <v>68</v>
      </c>
      <c r="D15" s="218" t="s">
        <v>470</v>
      </c>
      <c r="E15" s="143" t="s">
        <v>705</v>
      </c>
      <c r="F15" s="235">
        <v>33</v>
      </c>
      <c r="G15" s="236">
        <v>99</v>
      </c>
      <c r="H15" s="237">
        <f t="shared" si="0"/>
        <v>2.8433789336639696E-3</v>
      </c>
      <c r="I15" s="237">
        <f t="shared" si="1"/>
        <v>3.0035742533615004E-3</v>
      </c>
      <c r="J15" s="237">
        <f t="shared" si="2"/>
        <v>7.8696343402225762E-3</v>
      </c>
    </row>
    <row r="16" spans="1:10" x14ac:dyDescent="0.2">
      <c r="A16" s="143" t="s">
        <v>1435</v>
      </c>
      <c r="B16" s="143" t="s">
        <v>218</v>
      </c>
      <c r="C16" s="143" t="s">
        <v>68</v>
      </c>
      <c r="D16" s="218" t="s">
        <v>471</v>
      </c>
      <c r="E16" s="143" t="s">
        <v>706</v>
      </c>
      <c r="F16" s="235">
        <v>45</v>
      </c>
      <c r="G16" s="236">
        <v>135</v>
      </c>
      <c r="H16" s="237">
        <f t="shared" si="0"/>
        <v>3.877334909541777E-3</v>
      </c>
      <c r="I16" s="237">
        <f t="shared" si="1"/>
        <v>4.0957830727656828E-3</v>
      </c>
      <c r="J16" s="237">
        <f t="shared" si="2"/>
        <v>1.0731319554848967E-2</v>
      </c>
    </row>
    <row r="17" spans="1:10" x14ac:dyDescent="0.2">
      <c r="A17" s="143" t="s">
        <v>1435</v>
      </c>
      <c r="B17" s="143" t="s">
        <v>218</v>
      </c>
      <c r="C17" s="143" t="s">
        <v>68</v>
      </c>
      <c r="D17" s="218" t="s">
        <v>472</v>
      </c>
      <c r="E17" s="143" t="s">
        <v>707</v>
      </c>
      <c r="F17" s="235">
        <v>187</v>
      </c>
      <c r="G17" s="236">
        <v>559</v>
      </c>
      <c r="H17" s="237">
        <f t="shared" si="0"/>
        <v>1.605503862543595E-2</v>
      </c>
      <c r="I17" s="237">
        <f t="shared" si="1"/>
        <v>1.6959575834637159E-2</v>
      </c>
      <c r="J17" s="237">
        <f t="shared" si="2"/>
        <v>4.4435612082670904E-2</v>
      </c>
    </row>
    <row r="18" spans="1:10" ht="24" x14ac:dyDescent="0.2">
      <c r="A18" s="143" t="s">
        <v>1435</v>
      </c>
      <c r="B18" s="143" t="s">
        <v>218</v>
      </c>
      <c r="C18" s="143" t="s">
        <v>68</v>
      </c>
      <c r="D18" s="218" t="s">
        <v>701</v>
      </c>
      <c r="E18" s="143" t="s">
        <v>708</v>
      </c>
      <c r="F18" s="235">
        <v>5</v>
      </c>
      <c r="G18" s="236">
        <v>20</v>
      </c>
      <c r="H18" s="237">
        <f t="shared" si="0"/>
        <v>5.7441998659878179E-4</v>
      </c>
      <c r="I18" s="237">
        <f t="shared" si="1"/>
        <v>6.0678267744676778E-4</v>
      </c>
      <c r="J18" s="237">
        <f t="shared" si="2"/>
        <v>1.589825119236884E-3</v>
      </c>
    </row>
    <row r="19" spans="1:10" x14ac:dyDescent="0.2">
      <c r="A19" s="143" t="s">
        <v>1435</v>
      </c>
      <c r="B19" s="143" t="s">
        <v>218</v>
      </c>
      <c r="C19" s="143" t="s">
        <v>68</v>
      </c>
      <c r="D19" s="218" t="s">
        <v>466</v>
      </c>
      <c r="E19" s="143" t="s">
        <v>709</v>
      </c>
      <c r="F19" s="235">
        <v>114</v>
      </c>
      <c r="G19" s="236">
        <v>429</v>
      </c>
      <c r="H19" s="237">
        <f t="shared" si="0"/>
        <v>1.2321308712543869E-2</v>
      </c>
      <c r="I19" s="237">
        <f t="shared" si="1"/>
        <v>1.3015488431233169E-2</v>
      </c>
      <c r="J19" s="237">
        <f t="shared" si="2"/>
        <v>3.4101748807631158E-2</v>
      </c>
    </row>
    <row r="20" spans="1:10" x14ac:dyDescent="0.2">
      <c r="A20" s="143" t="s">
        <v>1435</v>
      </c>
      <c r="B20" s="143" t="s">
        <v>218</v>
      </c>
      <c r="C20" s="143" t="s">
        <v>68</v>
      </c>
      <c r="D20" s="218" t="s">
        <v>1458</v>
      </c>
      <c r="E20" s="143" t="s">
        <v>1459</v>
      </c>
      <c r="F20" s="235">
        <v>10</v>
      </c>
      <c r="G20" s="236">
        <v>40</v>
      </c>
      <c r="H20" s="237">
        <f t="shared" si="0"/>
        <v>1.1488399731975636E-3</v>
      </c>
      <c r="I20" s="237">
        <f t="shared" si="1"/>
        <v>1.2135653548935356E-3</v>
      </c>
      <c r="J20" s="237">
        <f t="shared" si="2"/>
        <v>3.1796502384737681E-3</v>
      </c>
    </row>
    <row r="21" spans="1:10" x14ac:dyDescent="0.2">
      <c r="A21" s="143" t="s">
        <v>1435</v>
      </c>
      <c r="B21" s="143" t="s">
        <v>218</v>
      </c>
      <c r="C21" s="143" t="s">
        <v>68</v>
      </c>
      <c r="D21" s="218" t="s">
        <v>473</v>
      </c>
      <c r="E21" s="143" t="s">
        <v>710</v>
      </c>
      <c r="F21" s="235">
        <v>79</v>
      </c>
      <c r="G21" s="236">
        <v>304</v>
      </c>
      <c r="H21" s="237">
        <f t="shared" si="0"/>
        <v>8.7311837963014831E-3</v>
      </c>
      <c r="I21" s="237">
        <f t="shared" si="1"/>
        <v>9.2230966971908711E-3</v>
      </c>
      <c r="J21" s="237">
        <f t="shared" si="2"/>
        <v>2.4165341812400636E-2</v>
      </c>
    </row>
    <row r="22" spans="1:10" x14ac:dyDescent="0.2">
      <c r="A22" s="143" t="s">
        <v>1435</v>
      </c>
      <c r="B22" s="143" t="s">
        <v>218</v>
      </c>
      <c r="C22" s="143" t="s">
        <v>68</v>
      </c>
      <c r="D22" s="218" t="s">
        <v>474</v>
      </c>
      <c r="E22" s="143" t="s">
        <v>711</v>
      </c>
      <c r="F22" s="235">
        <v>49</v>
      </c>
      <c r="G22" s="236">
        <v>196</v>
      </c>
      <c r="H22" s="237">
        <f t="shared" si="0"/>
        <v>5.6293158686680613E-3</v>
      </c>
      <c r="I22" s="237">
        <f t="shared" si="1"/>
        <v>5.9464702389783247E-3</v>
      </c>
      <c r="J22" s="237">
        <f t="shared" si="2"/>
        <v>1.5580286168521463E-2</v>
      </c>
    </row>
    <row r="23" spans="1:10" x14ac:dyDescent="0.2">
      <c r="A23" s="143" t="s">
        <v>1435</v>
      </c>
      <c r="B23" s="143" t="s">
        <v>218</v>
      </c>
      <c r="C23" s="143" t="s">
        <v>68</v>
      </c>
      <c r="D23" s="218" t="s">
        <v>1460</v>
      </c>
      <c r="E23" s="143" t="s">
        <v>1461</v>
      </c>
      <c r="F23" s="235">
        <v>21</v>
      </c>
      <c r="G23" s="236">
        <v>84</v>
      </c>
      <c r="H23" s="237">
        <f t="shared" si="0"/>
        <v>2.4125639437148835E-3</v>
      </c>
      <c r="I23" s="237">
        <f t="shared" si="1"/>
        <v>2.5484872452764249E-3</v>
      </c>
      <c r="J23" s="237">
        <f t="shared" si="2"/>
        <v>6.6772655007949124E-3</v>
      </c>
    </row>
    <row r="24" spans="1:10" x14ac:dyDescent="0.2">
      <c r="A24" s="143" t="s">
        <v>1435</v>
      </c>
      <c r="B24" s="143" t="s">
        <v>218</v>
      </c>
      <c r="C24" s="143" t="s">
        <v>68</v>
      </c>
      <c r="D24" s="218" t="s">
        <v>481</v>
      </c>
      <c r="E24" s="143" t="s">
        <v>712</v>
      </c>
      <c r="F24" s="235">
        <v>90</v>
      </c>
      <c r="G24" s="236">
        <v>360</v>
      </c>
      <c r="H24" s="237">
        <f t="shared" si="0"/>
        <v>1.0339559758778072E-2</v>
      </c>
      <c r="I24" s="237">
        <f t="shared" si="1"/>
        <v>1.0922088194041821E-2</v>
      </c>
      <c r="J24" s="237">
        <f t="shared" si="2"/>
        <v>2.8616852146263912E-2</v>
      </c>
    </row>
    <row r="25" spans="1:10" x14ac:dyDescent="0.2">
      <c r="A25" s="143" t="s">
        <v>1435</v>
      </c>
      <c r="B25" s="143" t="s">
        <v>218</v>
      </c>
      <c r="C25" s="143" t="s">
        <v>68</v>
      </c>
      <c r="D25" s="218" t="s">
        <v>475</v>
      </c>
      <c r="E25" s="143" t="s">
        <v>713</v>
      </c>
      <c r="F25" s="235">
        <v>60</v>
      </c>
      <c r="G25" s="236">
        <v>180</v>
      </c>
      <c r="H25" s="237">
        <f t="shared" si="0"/>
        <v>5.1697798793890358E-3</v>
      </c>
      <c r="I25" s="237">
        <f t="shared" si="1"/>
        <v>5.4610440970209104E-3</v>
      </c>
      <c r="J25" s="237">
        <f t="shared" si="2"/>
        <v>1.4308426073131956E-2</v>
      </c>
    </row>
    <row r="26" spans="1:10" x14ac:dyDescent="0.2">
      <c r="A26" s="143" t="s">
        <v>1435</v>
      </c>
      <c r="B26" s="143" t="s">
        <v>218</v>
      </c>
      <c r="C26" s="143" t="s">
        <v>68</v>
      </c>
      <c r="D26" s="218" t="s">
        <v>476</v>
      </c>
      <c r="E26" s="143" t="s">
        <v>714</v>
      </c>
      <c r="F26" s="235">
        <v>148</v>
      </c>
      <c r="G26" s="236">
        <v>332</v>
      </c>
      <c r="H26" s="237">
        <f t="shared" si="0"/>
        <v>9.5353717775397782E-3</v>
      </c>
      <c r="I26" s="237">
        <f t="shared" si="1"/>
        <v>1.0072592445616346E-2</v>
      </c>
      <c r="J26" s="237">
        <f t="shared" si="2"/>
        <v>2.6391096979332274E-2</v>
      </c>
    </row>
    <row r="27" spans="1:10" x14ac:dyDescent="0.2">
      <c r="A27" s="143" t="s">
        <v>1435</v>
      </c>
      <c r="B27" s="143" t="s">
        <v>218</v>
      </c>
      <c r="C27" s="143" t="s">
        <v>68</v>
      </c>
      <c r="D27" s="218" t="s">
        <v>477</v>
      </c>
      <c r="E27" s="143" t="s">
        <v>715</v>
      </c>
      <c r="F27" s="235">
        <v>92</v>
      </c>
      <c r="G27" s="236">
        <v>276</v>
      </c>
      <c r="H27" s="237">
        <f t="shared" si="0"/>
        <v>7.926995815063188E-3</v>
      </c>
      <c r="I27" s="237">
        <f t="shared" si="1"/>
        <v>8.3736009487653962E-3</v>
      </c>
      <c r="J27" s="237">
        <f t="shared" si="2"/>
        <v>2.1939586645468998E-2</v>
      </c>
    </row>
    <row r="28" spans="1:10" x14ac:dyDescent="0.2">
      <c r="A28" s="143" t="s">
        <v>1435</v>
      </c>
      <c r="B28" s="143" t="s">
        <v>218</v>
      </c>
      <c r="C28" s="143" t="s">
        <v>68</v>
      </c>
      <c r="D28" s="218" t="s">
        <v>478</v>
      </c>
      <c r="E28" s="143" t="s">
        <v>716</v>
      </c>
      <c r="F28" s="235">
        <v>117</v>
      </c>
      <c r="G28" s="236">
        <v>347</v>
      </c>
      <c r="H28" s="237">
        <f t="shared" si="0"/>
        <v>9.9661867674888643E-3</v>
      </c>
      <c r="I28" s="237">
        <f t="shared" si="1"/>
        <v>1.0527679453701422E-2</v>
      </c>
      <c r="J28" s="237">
        <f t="shared" si="2"/>
        <v>2.7583465818759936E-2</v>
      </c>
    </row>
    <row r="29" spans="1:10" x14ac:dyDescent="0.2">
      <c r="A29" s="143" t="s">
        <v>1435</v>
      </c>
      <c r="B29" s="143" t="s">
        <v>218</v>
      </c>
      <c r="C29" s="143" t="s">
        <v>68</v>
      </c>
      <c r="D29" s="218" t="s">
        <v>479</v>
      </c>
      <c r="E29" s="143" t="s">
        <v>717</v>
      </c>
      <c r="F29" s="235">
        <v>427</v>
      </c>
      <c r="G29" s="236">
        <v>1241</v>
      </c>
      <c r="H29" s="237">
        <f t="shared" si="0"/>
        <v>3.5642760168454413E-2</v>
      </c>
      <c r="I29" s="237">
        <f t="shared" si="1"/>
        <v>3.7650865135571941E-2</v>
      </c>
      <c r="J29" s="237">
        <f t="shared" si="2"/>
        <v>9.8648648648648654E-2</v>
      </c>
    </row>
    <row r="30" spans="1:10" x14ac:dyDescent="0.2">
      <c r="A30" s="143" t="s">
        <v>1435</v>
      </c>
      <c r="B30" s="143" t="s">
        <v>218</v>
      </c>
      <c r="C30" s="143" t="s">
        <v>68</v>
      </c>
      <c r="D30" s="218" t="s">
        <v>480</v>
      </c>
      <c r="E30" s="143" t="s">
        <v>718</v>
      </c>
      <c r="F30" s="235">
        <v>201</v>
      </c>
      <c r="G30" s="236">
        <v>603</v>
      </c>
      <c r="H30" s="237">
        <f t="shared" si="0"/>
        <v>1.7318762595953271E-2</v>
      </c>
      <c r="I30" s="237">
        <f t="shared" si="1"/>
        <v>1.8294497725020047E-2</v>
      </c>
      <c r="J30" s="237">
        <f t="shared" si="2"/>
        <v>4.7933227344992051E-2</v>
      </c>
    </row>
    <row r="31" spans="1:10" x14ac:dyDescent="0.2">
      <c r="A31" s="143" t="s">
        <v>1435</v>
      </c>
      <c r="B31" s="142" t="s">
        <v>218</v>
      </c>
      <c r="C31" s="142" t="s">
        <v>68</v>
      </c>
      <c r="D31" s="218" t="s">
        <v>482</v>
      </c>
      <c r="E31" s="143" t="s">
        <v>719</v>
      </c>
      <c r="F31" s="235">
        <v>29</v>
      </c>
      <c r="G31" s="236">
        <v>81</v>
      </c>
      <c r="H31" s="237">
        <f t="shared" si="0"/>
        <v>2.3264009457250661E-3</v>
      </c>
      <c r="I31" s="237">
        <f t="shared" si="1"/>
        <v>2.4574698436594096E-3</v>
      </c>
      <c r="J31" s="237">
        <f t="shared" si="2"/>
        <v>6.43879173290938E-3</v>
      </c>
    </row>
    <row r="32" spans="1:10" x14ac:dyDescent="0.2">
      <c r="A32" s="143" t="s">
        <v>1435</v>
      </c>
      <c r="B32" s="142" t="s">
        <v>218</v>
      </c>
      <c r="C32" s="142" t="s">
        <v>68</v>
      </c>
      <c r="D32" s="218" t="s">
        <v>483</v>
      </c>
      <c r="E32" s="143" t="s">
        <v>720</v>
      </c>
      <c r="F32" s="235">
        <v>60</v>
      </c>
      <c r="G32" s="236">
        <v>180</v>
      </c>
      <c r="H32" s="237">
        <f t="shared" si="0"/>
        <v>5.1697798793890358E-3</v>
      </c>
      <c r="I32" s="237">
        <f t="shared" si="1"/>
        <v>5.4610440970209104E-3</v>
      </c>
      <c r="J32" s="237">
        <f t="shared" si="2"/>
        <v>1.4308426073131956E-2</v>
      </c>
    </row>
    <row r="33" spans="1:10" ht="12" customHeight="1" x14ac:dyDescent="0.2">
      <c r="A33" s="149"/>
      <c r="B33" s="147"/>
      <c r="C33" s="149" t="str">
        <f>B30&amp;" "&amp;C30&amp;":"</f>
        <v>CLASS UG:</v>
      </c>
      <c r="D33" s="148"/>
      <c r="E33" s="149"/>
      <c r="F33" s="239">
        <f>SUM(F10:F32)</f>
        <v>4050</v>
      </c>
      <c r="G33" s="239">
        <f>SUM(G10:G32)</f>
        <v>12319</v>
      </c>
      <c r="H33" s="244">
        <f t="shared" si="0"/>
        <v>0.35381399074551961</v>
      </c>
      <c r="I33" s="244">
        <f t="shared" si="1"/>
        <v>0.37374779017333665</v>
      </c>
      <c r="J33" s="244">
        <f t="shared" si="2"/>
        <v>0.97925278219395862</v>
      </c>
    </row>
    <row r="34" spans="1:10" x14ac:dyDescent="0.2">
      <c r="A34" s="143" t="s">
        <v>1435</v>
      </c>
      <c r="B34" s="142" t="s">
        <v>218</v>
      </c>
      <c r="C34" s="142" t="s">
        <v>67</v>
      </c>
      <c r="D34" s="218" t="s">
        <v>469</v>
      </c>
      <c r="E34" s="143" t="s">
        <v>704</v>
      </c>
      <c r="F34" s="235">
        <v>18</v>
      </c>
      <c r="G34" s="236">
        <v>48</v>
      </c>
      <c r="H34" s="237">
        <f t="shared" si="0"/>
        <v>1.3786079678370763E-3</v>
      </c>
      <c r="I34" s="237">
        <f t="shared" ref="I34:I40" si="3">G34/$G$96</f>
        <v>2.5848142164781908E-2</v>
      </c>
      <c r="J34" s="237">
        <f t="shared" si="2"/>
        <v>3.8155802861685214E-3</v>
      </c>
    </row>
    <row r="35" spans="1:10" x14ac:dyDescent="0.2">
      <c r="A35" s="143" t="s">
        <v>1435</v>
      </c>
      <c r="B35" s="142" t="s">
        <v>218</v>
      </c>
      <c r="C35" s="142" t="s">
        <v>67</v>
      </c>
      <c r="D35" s="218" t="s">
        <v>471</v>
      </c>
      <c r="E35" s="143" t="s">
        <v>706</v>
      </c>
      <c r="F35" s="235">
        <v>3</v>
      </c>
      <c r="G35" s="236">
        <v>9</v>
      </c>
      <c r="H35" s="237">
        <f t="shared" si="0"/>
        <v>2.584889939694518E-4</v>
      </c>
      <c r="I35" s="237">
        <f t="shared" si="3"/>
        <v>4.8465266558966073E-3</v>
      </c>
      <c r="J35" s="237">
        <f t="shared" si="2"/>
        <v>7.1542130365659774E-4</v>
      </c>
    </row>
    <row r="36" spans="1:10" x14ac:dyDescent="0.2">
      <c r="A36" s="294" t="s">
        <v>1435</v>
      </c>
      <c r="B36" s="322" t="s">
        <v>218</v>
      </c>
      <c r="C36" s="322" t="s">
        <v>67</v>
      </c>
      <c r="D36" s="323" t="s">
        <v>475</v>
      </c>
      <c r="E36" s="294" t="s">
        <v>713</v>
      </c>
      <c r="F36" s="324">
        <v>4</v>
      </c>
      <c r="G36" s="325">
        <v>12</v>
      </c>
      <c r="H36" s="237">
        <f t="shared" si="0"/>
        <v>3.4465199195926908E-4</v>
      </c>
      <c r="I36" s="237">
        <f t="shared" si="3"/>
        <v>6.462035541195477E-3</v>
      </c>
      <c r="J36" s="237">
        <f t="shared" si="2"/>
        <v>9.5389507154213036E-4</v>
      </c>
    </row>
    <row r="37" spans="1:10" s="332" customFormat="1" ht="12" x14ac:dyDescent="0.2">
      <c r="A37" s="331" t="s">
        <v>1435</v>
      </c>
      <c r="B37" s="331" t="s">
        <v>218</v>
      </c>
      <c r="C37" s="331" t="s">
        <v>67</v>
      </c>
      <c r="D37" s="331" t="s">
        <v>484</v>
      </c>
      <c r="E37" s="331" t="s">
        <v>721</v>
      </c>
      <c r="F37" s="333">
        <v>36</v>
      </c>
      <c r="G37" s="333">
        <v>100</v>
      </c>
      <c r="H37" s="237">
        <f t="shared" si="0"/>
        <v>2.872099932993909E-3</v>
      </c>
      <c r="I37" s="237">
        <f t="shared" si="3"/>
        <v>5.3850296176628974E-2</v>
      </c>
      <c r="J37" s="237">
        <f t="shared" si="2"/>
        <v>7.9491255961844191E-3</v>
      </c>
    </row>
    <row r="38" spans="1:10" x14ac:dyDescent="0.2">
      <c r="A38" s="326" t="s">
        <v>1435</v>
      </c>
      <c r="B38" s="327" t="s">
        <v>218</v>
      </c>
      <c r="C38" s="327" t="s">
        <v>67</v>
      </c>
      <c r="D38" s="328" t="s">
        <v>479</v>
      </c>
      <c r="E38" s="326" t="s">
        <v>717</v>
      </c>
      <c r="F38" s="329">
        <v>38</v>
      </c>
      <c r="G38" s="330">
        <v>92</v>
      </c>
      <c r="H38" s="237">
        <f t="shared" si="0"/>
        <v>2.6423319383543963E-3</v>
      </c>
      <c r="I38" s="237">
        <f t="shared" si="3"/>
        <v>4.954227248249865E-2</v>
      </c>
      <c r="J38" s="237">
        <f t="shared" si="2"/>
        <v>7.3131955484896658E-3</v>
      </c>
    </row>
    <row r="39" spans="1:10" hidden="1" x14ac:dyDescent="0.2">
      <c r="A39" s="143"/>
      <c r="B39" s="142" t="s">
        <v>218</v>
      </c>
      <c r="C39" s="142" t="s">
        <v>67</v>
      </c>
      <c r="D39" s="218"/>
      <c r="E39" s="143"/>
      <c r="F39" s="235"/>
      <c r="G39" s="236"/>
      <c r="H39" s="237">
        <f t="shared" si="0"/>
        <v>0</v>
      </c>
      <c r="I39" s="237">
        <f t="shared" si="3"/>
        <v>0</v>
      </c>
      <c r="J39" s="237">
        <f t="shared" si="2"/>
        <v>0</v>
      </c>
    </row>
    <row r="40" spans="1:10" ht="12.75" customHeight="1" x14ac:dyDescent="0.2">
      <c r="A40" s="149"/>
      <c r="B40" s="147"/>
      <c r="C40" s="149" t="str">
        <f>B38&amp;" "&amp;C38&amp;":"</f>
        <v>CLASS GR:</v>
      </c>
      <c r="D40" s="148"/>
      <c r="E40" s="149"/>
      <c r="F40" s="239">
        <f>SUM(F34:F39)</f>
        <v>99</v>
      </c>
      <c r="G40" s="239">
        <f>SUM(G34:G39)</f>
        <v>261</v>
      </c>
      <c r="H40" s="244">
        <f t="shared" si="0"/>
        <v>7.4961808251141019E-3</v>
      </c>
      <c r="I40" s="244">
        <f t="shared" si="3"/>
        <v>0.14054927302100162</v>
      </c>
      <c r="J40" s="244">
        <f t="shared" si="2"/>
        <v>2.0747217806041336E-2</v>
      </c>
    </row>
    <row r="41" spans="1:10" x14ac:dyDescent="0.2">
      <c r="A41" s="240"/>
      <c r="B41" s="696" t="s">
        <v>243</v>
      </c>
      <c r="C41" s="697"/>
      <c r="D41" s="697"/>
      <c r="E41" s="698"/>
      <c r="F41" s="241">
        <f>F33+F40</f>
        <v>4149</v>
      </c>
      <c r="G41" s="241">
        <f>G33+G40</f>
        <v>12580</v>
      </c>
      <c r="H41" s="245">
        <f t="shared" si="0"/>
        <v>0.36131017157063372</v>
      </c>
      <c r="I41" s="242"/>
      <c r="J41" s="242"/>
    </row>
    <row r="42" spans="1:10" x14ac:dyDescent="0.2">
      <c r="A42" s="143" t="s">
        <v>1435</v>
      </c>
      <c r="B42" s="142" t="s">
        <v>222</v>
      </c>
      <c r="C42" s="142" t="s">
        <v>68</v>
      </c>
      <c r="D42" s="218" t="s">
        <v>485</v>
      </c>
      <c r="E42" s="143" t="s">
        <v>722</v>
      </c>
      <c r="F42" s="235">
        <v>294</v>
      </c>
      <c r="G42" s="236">
        <v>697</v>
      </c>
      <c r="H42" s="237">
        <f t="shared" ref="H42:H55" si="4">G42/$G$94</f>
        <v>2.0018536532967545E-2</v>
      </c>
      <c r="I42" s="237">
        <f t="shared" ref="I42:I49" si="5">G42/$G$95</f>
        <v>2.1146376309019856E-2</v>
      </c>
      <c r="J42" s="237">
        <f t="shared" ref="J42:J53" si="6">G42/$G$54</f>
        <v>7.9529895025102687E-2</v>
      </c>
    </row>
    <row r="43" spans="1:10" x14ac:dyDescent="0.2">
      <c r="A43" s="143" t="s">
        <v>1435</v>
      </c>
      <c r="B43" s="142" t="s">
        <v>222</v>
      </c>
      <c r="C43" s="142" t="s">
        <v>68</v>
      </c>
      <c r="D43" s="218" t="s">
        <v>486</v>
      </c>
      <c r="E43" s="143" t="s">
        <v>723</v>
      </c>
      <c r="F43" s="235">
        <v>1192</v>
      </c>
      <c r="G43" s="236">
        <v>2355</v>
      </c>
      <c r="H43" s="237">
        <f t="shared" si="4"/>
        <v>6.7637953422006555E-2</v>
      </c>
      <c r="I43" s="237">
        <f t="shared" si="5"/>
        <v>7.1448660269356909E-2</v>
      </c>
      <c r="J43" s="237">
        <f t="shared" si="6"/>
        <v>0.26871291647649476</v>
      </c>
    </row>
    <row r="44" spans="1:10" x14ac:dyDescent="0.2">
      <c r="A44" s="143" t="s">
        <v>1435</v>
      </c>
      <c r="B44" s="142" t="s">
        <v>222</v>
      </c>
      <c r="C44" s="142" t="s">
        <v>68</v>
      </c>
      <c r="D44" s="218" t="s">
        <v>487</v>
      </c>
      <c r="E44" s="143" t="s">
        <v>724</v>
      </c>
      <c r="F44" s="235">
        <v>533</v>
      </c>
      <c r="G44" s="236">
        <v>1131</v>
      </c>
      <c r="H44" s="237">
        <f t="shared" si="4"/>
        <v>3.2483450242161108E-2</v>
      </c>
      <c r="I44" s="237">
        <f t="shared" si="5"/>
        <v>3.4313560409614717E-2</v>
      </c>
      <c r="J44" s="237">
        <f t="shared" si="6"/>
        <v>0.12905066179826563</v>
      </c>
    </row>
    <row r="45" spans="1:10" x14ac:dyDescent="0.2">
      <c r="A45" s="143" t="s">
        <v>1435</v>
      </c>
      <c r="B45" s="142" t="s">
        <v>222</v>
      </c>
      <c r="C45" s="142" t="s">
        <v>68</v>
      </c>
      <c r="D45" s="218" t="s">
        <v>488</v>
      </c>
      <c r="E45" s="143" t="s">
        <v>725</v>
      </c>
      <c r="F45" s="235">
        <v>84</v>
      </c>
      <c r="G45" s="236">
        <v>265</v>
      </c>
      <c r="H45" s="237">
        <f t="shared" si="4"/>
        <v>7.6110648224338587E-3</v>
      </c>
      <c r="I45" s="237">
        <f t="shared" si="5"/>
        <v>8.0398704761696724E-3</v>
      </c>
      <c r="J45" s="237">
        <f t="shared" si="6"/>
        <v>3.0237334550433592E-2</v>
      </c>
    </row>
    <row r="46" spans="1:10" x14ac:dyDescent="0.2">
      <c r="A46" s="143" t="s">
        <v>1435</v>
      </c>
      <c r="B46" s="142" t="s">
        <v>222</v>
      </c>
      <c r="C46" s="142" t="s">
        <v>68</v>
      </c>
      <c r="D46" s="218" t="s">
        <v>489</v>
      </c>
      <c r="E46" s="143" t="s">
        <v>726</v>
      </c>
      <c r="F46" s="235">
        <v>1002</v>
      </c>
      <c r="G46" s="236">
        <v>3274</v>
      </c>
      <c r="H46" s="237">
        <f t="shared" si="4"/>
        <v>9.4032551806220582E-2</v>
      </c>
      <c r="I46" s="237">
        <f t="shared" si="5"/>
        <v>9.9330324298035885E-2</v>
      </c>
      <c r="J46" s="237">
        <f t="shared" si="6"/>
        <v>0.37357371063441352</v>
      </c>
    </row>
    <row r="47" spans="1:10" x14ac:dyDescent="0.2">
      <c r="A47" s="143" t="s">
        <v>1435</v>
      </c>
      <c r="B47" s="142" t="s">
        <v>222</v>
      </c>
      <c r="C47" s="142" t="s">
        <v>68</v>
      </c>
      <c r="D47" s="218" t="s">
        <v>1073</v>
      </c>
      <c r="E47" s="143" t="s">
        <v>490</v>
      </c>
      <c r="F47" s="235">
        <v>123</v>
      </c>
      <c r="G47" s="236">
        <v>292</v>
      </c>
      <c r="H47" s="237">
        <f t="shared" si="4"/>
        <v>8.3865318043422135E-3</v>
      </c>
      <c r="I47" s="237">
        <f t="shared" si="5"/>
        <v>8.8590270907228097E-3</v>
      </c>
      <c r="J47" s="237">
        <f t="shared" si="6"/>
        <v>3.3318119580100412E-2</v>
      </c>
    </row>
    <row r="48" spans="1:10" x14ac:dyDescent="0.2">
      <c r="A48" s="143" t="s">
        <v>1435</v>
      </c>
      <c r="B48" s="142" t="s">
        <v>222</v>
      </c>
      <c r="C48" s="142" t="s">
        <v>68</v>
      </c>
      <c r="D48" s="218" t="s">
        <v>491</v>
      </c>
      <c r="E48" s="143" t="s">
        <v>728</v>
      </c>
      <c r="F48" s="235">
        <v>167</v>
      </c>
      <c r="G48" s="236">
        <v>485</v>
      </c>
      <c r="H48" s="237">
        <f t="shared" si="4"/>
        <v>1.3929684675020457E-2</v>
      </c>
      <c r="I48" s="237">
        <f t="shared" si="5"/>
        <v>1.4714479928084119E-2</v>
      </c>
      <c r="J48" s="237">
        <f t="shared" si="6"/>
        <v>5.5340027384755817E-2</v>
      </c>
    </row>
    <row r="49" spans="1:10" x14ac:dyDescent="0.2">
      <c r="A49" s="147"/>
      <c r="B49" s="147"/>
      <c r="C49" s="149" t="str">
        <f>B48&amp;" "&amp;C48&amp;":"</f>
        <v>CNAS UG:</v>
      </c>
      <c r="D49" s="148"/>
      <c r="E49" s="149"/>
      <c r="F49" s="239">
        <f>SUM(F42:F48)</f>
        <v>3395</v>
      </c>
      <c r="G49" s="239">
        <f>SUM(G42:G48)</f>
        <v>8499</v>
      </c>
      <c r="H49" s="244">
        <f t="shared" si="4"/>
        <v>0.24409977330515231</v>
      </c>
      <c r="I49" s="244">
        <f t="shared" si="5"/>
        <v>0.25785229878100396</v>
      </c>
      <c r="J49" s="244">
        <f t="shared" si="6"/>
        <v>0.96976266544956646</v>
      </c>
    </row>
    <row r="50" spans="1:10" x14ac:dyDescent="0.2">
      <c r="A50" s="143" t="s">
        <v>1435</v>
      </c>
      <c r="B50" s="142" t="s">
        <v>222</v>
      </c>
      <c r="C50" s="142" t="s">
        <v>67</v>
      </c>
      <c r="D50" s="218" t="s">
        <v>485</v>
      </c>
      <c r="E50" s="143" t="s">
        <v>722</v>
      </c>
      <c r="F50" s="235">
        <v>11</v>
      </c>
      <c r="G50" s="236">
        <v>25</v>
      </c>
      <c r="H50" s="237">
        <f t="shared" si="4"/>
        <v>7.1802498324847726E-4</v>
      </c>
      <c r="I50" s="237">
        <f>G50/$G$96</f>
        <v>1.3462574044157244E-2</v>
      </c>
      <c r="J50" s="237">
        <f t="shared" si="6"/>
        <v>2.8525787311729804E-3</v>
      </c>
    </row>
    <row r="51" spans="1:10" x14ac:dyDescent="0.2">
      <c r="A51" s="143" t="s">
        <v>1435</v>
      </c>
      <c r="B51" s="142" t="s">
        <v>222</v>
      </c>
      <c r="C51" s="142" t="s">
        <v>67</v>
      </c>
      <c r="D51" s="218" t="s">
        <v>486</v>
      </c>
      <c r="E51" s="143" t="s">
        <v>723</v>
      </c>
      <c r="F51" s="235">
        <v>67</v>
      </c>
      <c r="G51" s="236">
        <v>156</v>
      </c>
      <c r="H51" s="237">
        <f t="shared" si="4"/>
        <v>4.4804758954704975E-3</v>
      </c>
      <c r="I51" s="237">
        <f>G51/$G$96</f>
        <v>8.4006462035541199E-2</v>
      </c>
      <c r="J51" s="237">
        <f t="shared" si="6"/>
        <v>1.7800091282519397E-2</v>
      </c>
    </row>
    <row r="52" spans="1:10" x14ac:dyDescent="0.2">
      <c r="A52" s="143" t="s">
        <v>1435</v>
      </c>
      <c r="B52" s="142" t="s">
        <v>222</v>
      </c>
      <c r="C52" s="142" t="s">
        <v>67</v>
      </c>
      <c r="D52" s="218" t="s">
        <v>492</v>
      </c>
      <c r="E52" s="143" t="s">
        <v>729</v>
      </c>
      <c r="F52" s="235">
        <v>30</v>
      </c>
      <c r="G52" s="236">
        <v>84</v>
      </c>
      <c r="H52" s="237">
        <f t="shared" si="4"/>
        <v>2.4125639437148835E-3</v>
      </c>
      <c r="I52" s="237">
        <f>G52/$G$96</f>
        <v>4.5234248788368334E-2</v>
      </c>
      <c r="J52" s="237">
        <f t="shared" si="6"/>
        <v>9.5846645367412137E-3</v>
      </c>
    </row>
    <row r="53" spans="1:10" x14ac:dyDescent="0.2">
      <c r="A53" s="149"/>
      <c r="B53" s="147"/>
      <c r="C53" s="149" t="str">
        <f>B52&amp;" "&amp;C52&amp;":"</f>
        <v>CNAS GR:</v>
      </c>
      <c r="D53" s="148"/>
      <c r="E53" s="149"/>
      <c r="F53" s="239">
        <f>SUM(F50:F52)</f>
        <v>108</v>
      </c>
      <c r="G53" s="239">
        <f>SUM(G50:G52)</f>
        <v>265</v>
      </c>
      <c r="H53" s="244">
        <f t="shared" si="4"/>
        <v>7.6110648224338587E-3</v>
      </c>
      <c r="I53" s="244">
        <f>G53/$G$96</f>
        <v>0.14270328486806677</v>
      </c>
      <c r="J53" s="244">
        <f t="shared" si="6"/>
        <v>3.0237334550433592E-2</v>
      </c>
    </row>
    <row r="54" spans="1:10" x14ac:dyDescent="0.2">
      <c r="A54" s="240"/>
      <c r="B54" s="696" t="s">
        <v>244</v>
      </c>
      <c r="C54" s="697"/>
      <c r="D54" s="697"/>
      <c r="E54" s="698"/>
      <c r="F54" s="241">
        <f>F49+F53</f>
        <v>3503</v>
      </c>
      <c r="G54" s="241">
        <f>G49+G53</f>
        <v>8764</v>
      </c>
      <c r="H54" s="246">
        <f t="shared" si="4"/>
        <v>0.25171083812758616</v>
      </c>
      <c r="I54" s="242"/>
      <c r="J54" s="242"/>
    </row>
    <row r="55" spans="1:10" ht="12.75" customHeight="1" x14ac:dyDescent="0.2">
      <c r="A55" s="143" t="s">
        <v>1435</v>
      </c>
      <c r="B55" s="142" t="s">
        <v>226</v>
      </c>
      <c r="C55" s="142" t="s">
        <v>68</v>
      </c>
      <c r="D55" s="218" t="s">
        <v>493</v>
      </c>
      <c r="E55" s="143" t="s">
        <v>576</v>
      </c>
      <c r="F55" s="235">
        <v>487</v>
      </c>
      <c r="G55" s="236">
        <v>1461</v>
      </c>
      <c r="H55" s="237">
        <f t="shared" si="4"/>
        <v>4.1961380021041009E-2</v>
      </c>
      <c r="I55" s="237">
        <f>G55/$G$95</f>
        <v>4.432547458748639E-2</v>
      </c>
      <c r="J55" s="237">
        <f>G55/$G$59</f>
        <v>0.98335498374536423</v>
      </c>
    </row>
    <row r="56" spans="1:10" x14ac:dyDescent="0.2">
      <c r="A56" s="143" t="s">
        <v>1435</v>
      </c>
      <c r="B56" s="142" t="s">
        <v>226</v>
      </c>
      <c r="C56" s="142" t="s">
        <v>68</v>
      </c>
      <c r="D56" s="218" t="s">
        <v>730</v>
      </c>
      <c r="E56" s="143" t="s">
        <v>731</v>
      </c>
      <c r="F56" s="235">
        <v>2</v>
      </c>
      <c r="G56" s="236">
        <v>24.73</v>
      </c>
      <c r="H56" s="237">
        <f t="shared" ref="H56" si="7">G56/$G$94</f>
        <v>7.102703134293937E-4</v>
      </c>
      <c r="I56" s="237">
        <f>G56/$G$95</f>
        <v>7.5028678066292836E-4</v>
      </c>
      <c r="J56" s="237">
        <f>G56/$G$59</f>
        <v>1.6645016254635769E-2</v>
      </c>
    </row>
    <row r="57" spans="1:10" hidden="1" x14ac:dyDescent="0.2">
      <c r="A57" s="143"/>
      <c r="B57" s="142"/>
      <c r="C57" s="142"/>
      <c r="D57" s="218"/>
      <c r="E57" s="143"/>
      <c r="F57" s="235"/>
      <c r="G57" s="236"/>
      <c r="H57" s="237"/>
      <c r="I57" s="237"/>
      <c r="J57" s="237"/>
    </row>
    <row r="58" spans="1:10" x14ac:dyDescent="0.2">
      <c r="A58" s="149"/>
      <c r="B58" s="147"/>
      <c r="C58" s="149" t="str">
        <f>B57&amp;" "&amp;C57&amp;":"</f>
        <v xml:space="preserve"> :</v>
      </c>
      <c r="D58" s="148"/>
      <c r="E58" s="149"/>
      <c r="F58" s="239">
        <f>SUM(F55:F57)</f>
        <v>489</v>
      </c>
      <c r="G58" s="239">
        <f>SUM(G55:G57)</f>
        <v>1485.73</v>
      </c>
      <c r="H58" s="244">
        <f>G58/$G$94</f>
        <v>4.2671650334470401E-2</v>
      </c>
      <c r="I58" s="244">
        <f>G58/$G$95</f>
        <v>4.5075761368149316E-2</v>
      </c>
      <c r="J58" s="244">
        <f>G58/$G$59</f>
        <v>1</v>
      </c>
    </row>
    <row r="59" spans="1:10" x14ac:dyDescent="0.2">
      <c r="A59" s="240"/>
      <c r="B59" s="696" t="s">
        <v>245</v>
      </c>
      <c r="C59" s="697"/>
      <c r="D59" s="697"/>
      <c r="E59" s="698"/>
      <c r="F59" s="241">
        <f>F58</f>
        <v>489</v>
      </c>
      <c r="G59" s="241">
        <f>G58</f>
        <v>1485.73</v>
      </c>
      <c r="H59" s="246">
        <f>G59/$G$94</f>
        <v>4.2671650334470401E-2</v>
      </c>
      <c r="I59" s="242"/>
      <c r="J59" s="242"/>
    </row>
    <row r="60" spans="1:10" ht="3" customHeight="1" x14ac:dyDescent="0.2">
      <c r="A60" s="243"/>
      <c r="B60" s="243"/>
      <c r="C60" s="243"/>
      <c r="D60" s="243"/>
      <c r="E60" s="243"/>
      <c r="F60" s="243"/>
      <c r="G60" s="243"/>
      <c r="H60" s="243"/>
      <c r="I60" s="243"/>
      <c r="J60" s="243"/>
    </row>
    <row r="61" spans="1:10" hidden="1" x14ac:dyDescent="0.2">
      <c r="A61" s="143"/>
      <c r="B61" s="142" t="s">
        <v>285</v>
      </c>
      <c r="C61" s="142" t="s">
        <v>68</v>
      </c>
      <c r="D61" s="218"/>
      <c r="E61" s="143"/>
      <c r="F61" s="235"/>
      <c r="G61" s="236"/>
      <c r="H61" s="237">
        <f>G61/$G$94</f>
        <v>0</v>
      </c>
      <c r="I61" s="237">
        <f>G61/$G$95</f>
        <v>0</v>
      </c>
      <c r="J61" s="237" t="e">
        <f>G61/$G$63</f>
        <v>#DIV/0!</v>
      </c>
    </row>
    <row r="62" spans="1:10" hidden="1" x14ac:dyDescent="0.2">
      <c r="A62" s="149"/>
      <c r="B62" s="147"/>
      <c r="C62" s="238" t="s">
        <v>68</v>
      </c>
      <c r="D62" s="148"/>
      <c r="E62" s="149"/>
      <c r="F62" s="239">
        <f>SUM(F61)</f>
        <v>0</v>
      </c>
      <c r="G62" s="239">
        <f>SUM(G61)</f>
        <v>0</v>
      </c>
      <c r="H62" s="244">
        <f>G62/$G$94</f>
        <v>0</v>
      </c>
      <c r="I62" s="244">
        <f>G62/$G$95</f>
        <v>0</v>
      </c>
      <c r="J62" s="244" t="e">
        <f>G62/$G$63</f>
        <v>#DIV/0!</v>
      </c>
    </row>
    <row r="63" spans="1:10" hidden="1" x14ac:dyDescent="0.2">
      <c r="A63" s="240"/>
      <c r="B63" s="696" t="s">
        <v>302</v>
      </c>
      <c r="C63" s="697"/>
      <c r="D63" s="697"/>
      <c r="E63" s="698"/>
      <c r="F63" s="241">
        <f>F62</f>
        <v>0</v>
      </c>
      <c r="G63" s="241">
        <f>G62</f>
        <v>0</v>
      </c>
      <c r="H63" s="246">
        <f>G63/$G$94</f>
        <v>0</v>
      </c>
      <c r="I63" s="242"/>
      <c r="J63" s="242"/>
    </row>
    <row r="64" spans="1:10" ht="3" hidden="1" customHeight="1" x14ac:dyDescent="0.2">
      <c r="A64" s="243"/>
      <c r="B64" s="243"/>
      <c r="C64" s="243"/>
      <c r="D64" s="243"/>
      <c r="E64" s="243"/>
      <c r="F64" s="243"/>
      <c r="G64" s="243"/>
      <c r="H64" s="243"/>
      <c r="I64" s="243"/>
      <c r="J64" s="243"/>
    </row>
    <row r="65" spans="1:10" x14ac:dyDescent="0.2">
      <c r="A65" s="143" t="s">
        <v>1435</v>
      </c>
      <c r="B65" s="142" t="s">
        <v>229</v>
      </c>
      <c r="C65" s="142" t="s">
        <v>68</v>
      </c>
      <c r="D65" s="218" t="s">
        <v>494</v>
      </c>
      <c r="E65" s="143" t="s">
        <v>732</v>
      </c>
      <c r="F65" s="235">
        <f>1370+14</f>
        <v>1384</v>
      </c>
      <c r="G65" s="236">
        <f>4069+42</f>
        <v>4111</v>
      </c>
      <c r="H65" s="237">
        <f t="shared" ref="H65:H73" si="8">G65/$G$94</f>
        <v>0.1180720282453796</v>
      </c>
      <c r="I65" s="237">
        <f>G65/$G$95</f>
        <v>0.12472417934918312</v>
      </c>
      <c r="J65" s="237">
        <f>G65/$G$73</f>
        <v>0.60714813173829563</v>
      </c>
    </row>
    <row r="66" spans="1:10" x14ac:dyDescent="0.2">
      <c r="A66" s="143" t="s">
        <v>1435</v>
      </c>
      <c r="B66" s="142" t="s">
        <v>229</v>
      </c>
      <c r="C66" s="142" t="s">
        <v>68</v>
      </c>
      <c r="D66" s="218" t="s">
        <v>495</v>
      </c>
      <c r="E66" s="143" t="s">
        <v>733</v>
      </c>
      <c r="F66" s="235">
        <v>8</v>
      </c>
      <c r="G66" s="236">
        <v>24</v>
      </c>
      <c r="H66" s="237">
        <f t="shared" si="8"/>
        <v>6.8930398391853817E-4</v>
      </c>
      <c r="I66" s="237">
        <f>G66/$G$95</f>
        <v>7.2813921293612136E-4</v>
      </c>
      <c r="J66" s="237">
        <f>G66/$G$73</f>
        <v>3.544528134692069E-3</v>
      </c>
    </row>
    <row r="67" spans="1:10" x14ac:dyDescent="0.2">
      <c r="A67" s="143" t="s">
        <v>1435</v>
      </c>
      <c r="B67" s="142" t="s">
        <v>229</v>
      </c>
      <c r="C67" s="142" t="s">
        <v>68</v>
      </c>
      <c r="D67" s="218" t="s">
        <v>496</v>
      </c>
      <c r="E67" s="143" t="s">
        <v>734</v>
      </c>
      <c r="F67" s="235">
        <v>264</v>
      </c>
      <c r="G67" s="236">
        <v>778</v>
      </c>
      <c r="H67" s="237">
        <f t="shared" si="8"/>
        <v>2.2344937478692612E-2</v>
      </c>
      <c r="I67" s="237">
        <f>G67/$G$95</f>
        <v>2.3603846152679266E-2</v>
      </c>
      <c r="J67" s="237">
        <f t="shared" ref="J67" si="9">G67/$G$73</f>
        <v>0.11490178703293458</v>
      </c>
    </row>
    <row r="68" spans="1:10" x14ac:dyDescent="0.2">
      <c r="A68" s="143" t="s">
        <v>1435</v>
      </c>
      <c r="B68" s="142" t="s">
        <v>229</v>
      </c>
      <c r="C68" s="142" t="s">
        <v>68</v>
      </c>
      <c r="D68" s="218" t="s">
        <v>497</v>
      </c>
      <c r="E68" s="143" t="s">
        <v>735</v>
      </c>
      <c r="F68" s="235">
        <v>474</v>
      </c>
      <c r="G68" s="236">
        <v>1422</v>
      </c>
      <c r="H68" s="237">
        <f t="shared" si="8"/>
        <v>4.0841261047173387E-2</v>
      </c>
      <c r="I68" s="237">
        <f>G68/$G$95</f>
        <v>4.3142248366465193E-2</v>
      </c>
      <c r="J68" s="237">
        <f>G68/$G$73</f>
        <v>0.21001329198050508</v>
      </c>
    </row>
    <row r="69" spans="1:10" x14ac:dyDescent="0.2">
      <c r="A69" s="147"/>
      <c r="B69" s="147"/>
      <c r="C69" s="149" t="str">
        <f>B68&amp;" "&amp;C68&amp;":"</f>
        <v>SBPA UG:</v>
      </c>
      <c r="D69" s="148"/>
      <c r="E69" s="149"/>
      <c r="F69" s="239">
        <f>SUM(F65:F68)</f>
        <v>2130</v>
      </c>
      <c r="G69" s="239">
        <f>SUM(G65:G68)</f>
        <v>6335</v>
      </c>
      <c r="H69" s="244">
        <f t="shared" si="8"/>
        <v>0.18194753075516412</v>
      </c>
      <c r="I69" s="244">
        <f>G69/$G$95</f>
        <v>0.1921984130812637</v>
      </c>
      <c r="J69" s="244">
        <f>G69/$G$73</f>
        <v>0.93560773888642745</v>
      </c>
    </row>
    <row r="70" spans="1:10" x14ac:dyDescent="0.2">
      <c r="A70" s="143" t="s">
        <v>1435</v>
      </c>
      <c r="B70" s="142" t="s">
        <v>229</v>
      </c>
      <c r="C70" s="142" t="s">
        <v>67</v>
      </c>
      <c r="D70" s="218" t="s">
        <v>494</v>
      </c>
      <c r="E70" s="143" t="s">
        <v>732</v>
      </c>
      <c r="F70" s="235">
        <v>36</v>
      </c>
      <c r="G70" s="236">
        <v>108</v>
      </c>
      <c r="H70" s="237">
        <f t="shared" si="8"/>
        <v>3.1018679276334218E-3</v>
      </c>
      <c r="I70" s="237">
        <f>G70/$G$96</f>
        <v>5.8158319870759291E-2</v>
      </c>
      <c r="J70" s="237">
        <f>G70/$G$73</f>
        <v>1.595037660611431E-2</v>
      </c>
    </row>
    <row r="71" spans="1:10" ht="14.25" customHeight="1" x14ac:dyDescent="0.2">
      <c r="A71" s="143" t="s">
        <v>1435</v>
      </c>
      <c r="B71" s="142" t="s">
        <v>229</v>
      </c>
      <c r="C71" s="142" t="s">
        <v>67</v>
      </c>
      <c r="D71" s="218" t="s">
        <v>497</v>
      </c>
      <c r="E71" s="143" t="s">
        <v>735</v>
      </c>
      <c r="F71" s="235">
        <v>110</v>
      </c>
      <c r="G71" s="236">
        <v>328</v>
      </c>
      <c r="H71" s="237">
        <f t="shared" si="8"/>
        <v>9.4204877802200205E-3</v>
      </c>
      <c r="I71" s="237">
        <f>G71/$G$96</f>
        <v>0.17662897145934303</v>
      </c>
      <c r="J71" s="237">
        <f>G71/$G$73</f>
        <v>4.8441884507458281E-2</v>
      </c>
    </row>
    <row r="72" spans="1:10" x14ac:dyDescent="0.2">
      <c r="A72" s="149"/>
      <c r="B72" s="147"/>
      <c r="C72" s="149" t="str">
        <f>B71&amp;" "&amp;C71&amp;":"</f>
        <v>SBPA GR:</v>
      </c>
      <c r="D72" s="148"/>
      <c r="E72" s="149"/>
      <c r="F72" s="239">
        <f>SUM(F70:F71)</f>
        <v>146</v>
      </c>
      <c r="G72" s="239">
        <f>SUM(G70:G71)</f>
        <v>436</v>
      </c>
      <c r="H72" s="244">
        <f t="shared" si="8"/>
        <v>1.2522355707853443E-2</v>
      </c>
      <c r="I72" s="244">
        <f>G72/$G$96</f>
        <v>0.23478729133010232</v>
      </c>
      <c r="J72" s="244">
        <f>G72/$G$73</f>
        <v>6.4392261113572588E-2</v>
      </c>
    </row>
    <row r="73" spans="1:10" x14ac:dyDescent="0.2">
      <c r="A73" s="240"/>
      <c r="B73" s="696" t="s">
        <v>246</v>
      </c>
      <c r="C73" s="697"/>
      <c r="D73" s="697"/>
      <c r="E73" s="698"/>
      <c r="F73" s="241">
        <f>F69+F72</f>
        <v>2276</v>
      </c>
      <c r="G73" s="241">
        <f>G69+G72</f>
        <v>6771</v>
      </c>
      <c r="H73" s="246">
        <f t="shared" si="8"/>
        <v>0.19446988646301758</v>
      </c>
      <c r="I73" s="242"/>
      <c r="J73" s="242"/>
    </row>
    <row r="74" spans="1:10" ht="3" customHeight="1" x14ac:dyDescent="0.2">
      <c r="A74" s="243"/>
      <c r="B74" s="243"/>
      <c r="C74" s="243"/>
      <c r="D74" s="243"/>
      <c r="E74" s="243"/>
      <c r="F74" s="243"/>
      <c r="G74" s="243"/>
      <c r="H74" s="243"/>
      <c r="I74" s="243"/>
      <c r="J74" s="243"/>
    </row>
    <row r="75" spans="1:10" x14ac:dyDescent="0.2">
      <c r="A75" s="143" t="s">
        <v>1435</v>
      </c>
      <c r="B75" s="183" t="s">
        <v>276</v>
      </c>
      <c r="C75" s="183" t="s">
        <v>68</v>
      </c>
      <c r="D75" s="183" t="s">
        <v>498</v>
      </c>
      <c r="E75" s="183" t="s">
        <v>736</v>
      </c>
      <c r="F75" s="235">
        <v>279</v>
      </c>
      <c r="G75" s="236">
        <v>673</v>
      </c>
      <c r="H75" s="247">
        <f>G75/$G$94</f>
        <v>1.9329232549049006E-2</v>
      </c>
      <c r="I75" s="247">
        <f>G75/$G$95</f>
        <v>2.0418237096083737E-2</v>
      </c>
      <c r="J75" s="247">
        <f>G75/$G$77</f>
        <v>1</v>
      </c>
    </row>
    <row r="76" spans="1:10" x14ac:dyDescent="0.2">
      <c r="A76" s="149"/>
      <c r="B76" s="147"/>
      <c r="C76" s="149" t="str">
        <f>B75&amp;" "&amp;C75&amp;":"</f>
        <v>SENG UG:</v>
      </c>
      <c r="D76" s="148"/>
      <c r="E76" s="149"/>
      <c r="F76" s="239">
        <f>SUM(F75:F75)</f>
        <v>279</v>
      </c>
      <c r="G76" s="239">
        <f>SUM(G75:G75)</f>
        <v>673</v>
      </c>
      <c r="H76" s="244">
        <f>G76/$G$94</f>
        <v>1.9329232549049006E-2</v>
      </c>
      <c r="I76" s="244">
        <f>G76/$G$95</f>
        <v>2.0418237096083737E-2</v>
      </c>
      <c r="J76" s="244">
        <f>G76/$G$77</f>
        <v>1</v>
      </c>
    </row>
    <row r="77" spans="1:10" x14ac:dyDescent="0.2">
      <c r="A77" s="240"/>
      <c r="B77" s="696" t="s">
        <v>278</v>
      </c>
      <c r="C77" s="697"/>
      <c r="D77" s="697"/>
      <c r="E77" s="698"/>
      <c r="F77" s="241">
        <f>F76</f>
        <v>279</v>
      </c>
      <c r="G77" s="241">
        <f>G76</f>
        <v>673</v>
      </c>
      <c r="H77" s="246">
        <f>G77/$G$94</f>
        <v>1.9329232549049006E-2</v>
      </c>
      <c r="I77" s="242"/>
      <c r="J77" s="242"/>
    </row>
    <row r="78" spans="1:10" ht="3" customHeight="1" x14ac:dyDescent="0.2">
      <c r="A78" s="243"/>
      <c r="B78" s="243"/>
      <c r="C78" s="243"/>
      <c r="D78" s="243"/>
      <c r="E78" s="243"/>
      <c r="F78" s="243"/>
      <c r="G78" s="243"/>
      <c r="H78" s="243"/>
      <c r="I78" s="243"/>
      <c r="J78" s="243"/>
    </row>
    <row r="79" spans="1:10" ht="3" hidden="1" customHeight="1" x14ac:dyDescent="0.2">
      <c r="A79" s="243"/>
      <c r="B79" s="243"/>
      <c r="C79" s="243"/>
      <c r="D79" s="243"/>
      <c r="E79" s="243"/>
      <c r="F79" s="243"/>
      <c r="G79" s="243"/>
      <c r="H79" s="243"/>
      <c r="I79" s="243"/>
      <c r="J79" s="243"/>
    </row>
    <row r="80" spans="1:10" x14ac:dyDescent="0.2">
      <c r="A80" s="143" t="s">
        <v>1435</v>
      </c>
      <c r="B80" s="142" t="s">
        <v>233</v>
      </c>
      <c r="C80" s="142" t="s">
        <v>68</v>
      </c>
      <c r="D80" s="218" t="s">
        <v>499</v>
      </c>
      <c r="E80" s="143" t="s">
        <v>737</v>
      </c>
      <c r="F80" s="235">
        <v>400</v>
      </c>
      <c r="G80" s="236">
        <v>1335</v>
      </c>
      <c r="H80" s="237">
        <f t="shared" ref="H80:H85" si="10">G80/$G$94</f>
        <v>3.8342534105468687E-2</v>
      </c>
      <c r="I80" s="237">
        <f>G80/$G$95</f>
        <v>4.050274371957175E-2</v>
      </c>
      <c r="J80" s="237">
        <f>G80/$G$85</f>
        <v>0.59545049063336308</v>
      </c>
    </row>
    <row r="81" spans="1:10" x14ac:dyDescent="0.2">
      <c r="A81" s="143" t="s">
        <v>1435</v>
      </c>
      <c r="B81" s="142" t="s">
        <v>222</v>
      </c>
      <c r="C81" s="142" t="s">
        <v>68</v>
      </c>
      <c r="D81" s="218" t="s">
        <v>500</v>
      </c>
      <c r="E81" s="143" t="s">
        <v>727</v>
      </c>
      <c r="F81" s="235">
        <v>5</v>
      </c>
      <c r="G81" s="236">
        <v>15</v>
      </c>
      <c r="H81" s="237">
        <f t="shared" si="10"/>
        <v>4.3081498994908631E-4</v>
      </c>
      <c r="I81" s="237">
        <f>G81/$G$95</f>
        <v>4.5508700808507586E-4</v>
      </c>
      <c r="J81" s="237">
        <f>G81/$G$54</f>
        <v>1.7115472387037882E-3</v>
      </c>
    </row>
    <row r="82" spans="1:10" x14ac:dyDescent="0.2">
      <c r="A82" s="147"/>
      <c r="B82" s="147"/>
      <c r="C82" s="149" t="str">
        <f>B80&amp;" "&amp;C80&amp;":"</f>
        <v>SOE UG:</v>
      </c>
      <c r="D82" s="148"/>
      <c r="E82" s="149"/>
      <c r="F82" s="239">
        <f>SUM(F80:F81)</f>
        <v>405</v>
      </c>
      <c r="G82" s="239">
        <f>SUM(G80:G81)</f>
        <v>1350</v>
      </c>
      <c r="H82" s="244">
        <f t="shared" si="10"/>
        <v>3.877334909541777E-2</v>
      </c>
      <c r="I82" s="244">
        <f>G82/$G$95</f>
        <v>4.0957830727656824E-2</v>
      </c>
      <c r="J82" s="244">
        <f>G82/$G$85</f>
        <v>0.60214094558429976</v>
      </c>
    </row>
    <row r="83" spans="1:10" x14ac:dyDescent="0.2">
      <c r="A83" s="143" t="s">
        <v>1435</v>
      </c>
      <c r="B83" s="142" t="s">
        <v>233</v>
      </c>
      <c r="C83" s="142" t="s">
        <v>67</v>
      </c>
      <c r="D83" s="143" t="s">
        <v>499</v>
      </c>
      <c r="E83" s="143" t="s">
        <v>737</v>
      </c>
      <c r="F83" s="235">
        <v>313</v>
      </c>
      <c r="G83" s="236">
        <v>892</v>
      </c>
      <c r="H83" s="237">
        <f t="shared" si="10"/>
        <v>2.5619131402305668E-2</v>
      </c>
      <c r="I83" s="237">
        <f>G83/$G$96</f>
        <v>0.48034464189553044</v>
      </c>
      <c r="J83" s="237">
        <f>G83/$G$85</f>
        <v>0.39785905441570024</v>
      </c>
    </row>
    <row r="84" spans="1:10" x14ac:dyDescent="0.2">
      <c r="A84" s="149"/>
      <c r="B84" s="147"/>
      <c r="C84" s="149" t="str">
        <f>B83&amp;" "&amp;C83&amp;":"</f>
        <v>SOE GR:</v>
      </c>
      <c r="D84" s="148"/>
      <c r="E84" s="149"/>
      <c r="F84" s="239">
        <f>SUM(F83)</f>
        <v>313</v>
      </c>
      <c r="G84" s="239">
        <f>SUM(G83)</f>
        <v>892</v>
      </c>
      <c r="H84" s="244">
        <f t="shared" si="10"/>
        <v>2.5619131402305668E-2</v>
      </c>
      <c r="I84" s="244">
        <f>G84/$G$96</f>
        <v>0.48034464189553044</v>
      </c>
      <c r="J84" s="244">
        <f>G84/$G$85</f>
        <v>0.39785905441570024</v>
      </c>
    </row>
    <row r="85" spans="1:10" x14ac:dyDescent="0.2">
      <c r="A85" s="240"/>
      <c r="B85" s="696" t="s">
        <v>247</v>
      </c>
      <c r="C85" s="697"/>
      <c r="D85" s="697"/>
      <c r="E85" s="698"/>
      <c r="F85" s="241">
        <f>F82+F84</f>
        <v>718</v>
      </c>
      <c r="G85" s="241">
        <f>G82+G84</f>
        <v>2242</v>
      </c>
      <c r="H85" s="246">
        <f t="shared" si="10"/>
        <v>6.4392480497723434E-2</v>
      </c>
      <c r="I85" s="242"/>
      <c r="J85" s="242"/>
    </row>
    <row r="86" spans="1:10" ht="3" customHeight="1" x14ac:dyDescent="0.2">
      <c r="A86" s="243"/>
      <c r="B86" s="243"/>
      <c r="C86" s="243"/>
      <c r="D86" s="243"/>
      <c r="E86" s="243"/>
      <c r="F86" s="243"/>
      <c r="G86" s="243"/>
      <c r="H86" s="243"/>
      <c r="I86" s="243"/>
      <c r="J86" s="243"/>
    </row>
    <row r="87" spans="1:10" x14ac:dyDescent="0.2">
      <c r="A87" s="143" t="s">
        <v>1435</v>
      </c>
      <c r="B87" s="142" t="s">
        <v>324</v>
      </c>
      <c r="C87" s="142" t="s">
        <v>68</v>
      </c>
      <c r="D87" s="218" t="s">
        <v>501</v>
      </c>
      <c r="E87" s="143" t="s">
        <v>738</v>
      </c>
      <c r="F87" s="235">
        <v>203</v>
      </c>
      <c r="G87" s="236">
        <v>569</v>
      </c>
      <c r="H87" s="237">
        <f t="shared" ref="H87:H93" si="11">G87/$G$94</f>
        <v>1.6342248618735341E-2</v>
      </c>
      <c r="I87" s="237">
        <f t="shared" ref="I87:I92" si="12">G87/$G$95</f>
        <v>1.7262967173360545E-2</v>
      </c>
      <c r="J87" s="237">
        <f t="shared" ref="J87:J92" si="13">G87/$G$93</f>
        <v>0.24717636837532581</v>
      </c>
    </row>
    <row r="88" spans="1:10" x14ac:dyDescent="0.2">
      <c r="A88" s="143" t="s">
        <v>1435</v>
      </c>
      <c r="B88" s="142" t="s">
        <v>324</v>
      </c>
      <c r="C88" s="142" t="s">
        <v>68</v>
      </c>
      <c r="D88" s="218" t="s">
        <v>502</v>
      </c>
      <c r="E88" s="143" t="s">
        <v>739</v>
      </c>
      <c r="F88" s="235">
        <v>317</v>
      </c>
      <c r="G88" s="236">
        <v>966</v>
      </c>
      <c r="H88" s="237">
        <f t="shared" si="11"/>
        <v>2.7744485352721161E-2</v>
      </c>
      <c r="I88" s="237">
        <f t="shared" si="12"/>
        <v>2.9307603320678884E-2</v>
      </c>
      <c r="J88" s="237">
        <f t="shared" si="13"/>
        <v>0.41963509991311904</v>
      </c>
    </row>
    <row r="89" spans="1:10" x14ac:dyDescent="0.2">
      <c r="A89" s="143" t="s">
        <v>1435</v>
      </c>
      <c r="B89" s="142" t="s">
        <v>324</v>
      </c>
      <c r="C89" s="142" t="s">
        <v>68</v>
      </c>
      <c r="D89" s="218" t="s">
        <v>503</v>
      </c>
      <c r="E89" s="143" t="s">
        <v>740</v>
      </c>
      <c r="F89" s="235">
        <v>247</v>
      </c>
      <c r="G89" s="236">
        <v>764</v>
      </c>
      <c r="H89" s="237">
        <f t="shared" si="11"/>
        <v>2.1942843488073464E-2</v>
      </c>
      <c r="I89" s="237">
        <f t="shared" si="12"/>
        <v>2.317909827846653E-2</v>
      </c>
      <c r="J89" s="237">
        <f t="shared" si="13"/>
        <v>0.33188531711555169</v>
      </c>
    </row>
    <row r="90" spans="1:10" x14ac:dyDescent="0.2">
      <c r="A90" s="147"/>
      <c r="B90" s="147"/>
      <c r="C90" s="149" t="str">
        <f>B89&amp;" "&amp;C89&amp;":"</f>
        <v>SOH UG:</v>
      </c>
      <c r="D90" s="148"/>
      <c r="E90" s="149"/>
      <c r="F90" s="239">
        <f>SUM(F87:F89)</f>
        <v>767</v>
      </c>
      <c r="G90" s="239">
        <f>SUM(G87:G89)</f>
        <v>2299</v>
      </c>
      <c r="H90" s="244">
        <f t="shared" si="11"/>
        <v>6.6029577459529962E-2</v>
      </c>
      <c r="I90" s="244">
        <f t="shared" si="12"/>
        <v>6.9749668772505963E-2</v>
      </c>
      <c r="J90" s="244">
        <f t="shared" si="13"/>
        <v>0.99869678540399653</v>
      </c>
    </row>
    <row r="91" spans="1:10" x14ac:dyDescent="0.2">
      <c r="A91" s="143" t="s">
        <v>1435</v>
      </c>
      <c r="B91" s="142" t="s">
        <v>324</v>
      </c>
      <c r="C91" s="142" t="s">
        <v>68</v>
      </c>
      <c r="D91" s="534" t="s">
        <v>501</v>
      </c>
      <c r="E91" s="533" t="s">
        <v>738</v>
      </c>
      <c r="F91" s="535">
        <v>1</v>
      </c>
      <c r="G91" s="535">
        <v>3</v>
      </c>
      <c r="H91" s="237">
        <f t="shared" si="11"/>
        <v>8.6162997989817271E-5</v>
      </c>
      <c r="I91" s="237">
        <f t="shared" si="12"/>
        <v>9.101740161701517E-5</v>
      </c>
      <c r="J91" s="237">
        <f t="shared" si="13"/>
        <v>1.3032145960034753E-3</v>
      </c>
    </row>
    <row r="92" spans="1:10" x14ac:dyDescent="0.2">
      <c r="A92" s="147"/>
      <c r="B92" s="147"/>
      <c r="C92" s="149" t="str">
        <f>B91&amp;" "&amp;C91&amp;":"</f>
        <v>SOH UG:</v>
      </c>
      <c r="D92" s="148"/>
      <c r="E92" s="149"/>
      <c r="F92" s="239">
        <f>SUM(F91)</f>
        <v>1</v>
      </c>
      <c r="G92" s="239">
        <f>SUM(G91)</f>
        <v>3</v>
      </c>
      <c r="H92" s="244">
        <f t="shared" si="11"/>
        <v>8.6162997989817271E-5</v>
      </c>
      <c r="I92" s="244">
        <f t="shared" si="12"/>
        <v>9.101740161701517E-5</v>
      </c>
      <c r="J92" s="244">
        <f t="shared" si="13"/>
        <v>1.3032145960034753E-3</v>
      </c>
    </row>
    <row r="93" spans="1:10" x14ac:dyDescent="0.2">
      <c r="A93" s="240"/>
      <c r="B93" s="696" t="s">
        <v>336</v>
      </c>
      <c r="C93" s="697"/>
      <c r="D93" s="697"/>
      <c r="E93" s="698"/>
      <c r="F93" s="241">
        <f>F90+F92</f>
        <v>768</v>
      </c>
      <c r="G93" s="241">
        <f>G90+G92</f>
        <v>2302</v>
      </c>
      <c r="H93" s="246">
        <f t="shared" si="11"/>
        <v>6.6115740457519778E-2</v>
      </c>
      <c r="I93" s="242"/>
      <c r="J93" s="242"/>
    </row>
    <row r="94" spans="1:10" x14ac:dyDescent="0.2">
      <c r="A94" s="699" t="s">
        <v>111</v>
      </c>
      <c r="B94" s="699"/>
      <c r="C94" s="699"/>
      <c r="D94" s="699"/>
      <c r="E94" s="699"/>
      <c r="F94" s="344">
        <f>F95+F96</f>
        <v>12182</v>
      </c>
      <c r="G94" s="344">
        <f>G95+G96</f>
        <v>34817.729999999996</v>
      </c>
      <c r="H94" s="248"/>
      <c r="I94" s="248"/>
      <c r="J94" s="249"/>
    </row>
    <row r="95" spans="1:10" x14ac:dyDescent="0.2">
      <c r="A95" s="700" t="s">
        <v>241</v>
      </c>
      <c r="B95" s="700"/>
      <c r="C95" s="700"/>
      <c r="D95" s="700"/>
      <c r="E95" s="700"/>
      <c r="F95" s="345">
        <f>F33+F49+F58+F62+F69+F90+F82+F76</f>
        <v>11515</v>
      </c>
      <c r="G95" s="345">
        <f>G33+G49+G58+G62+G69+G90+G82+G76</f>
        <v>32960.729999999996</v>
      </c>
      <c r="H95" s="250">
        <f>G95/G94</f>
        <v>0.94666510424430306</v>
      </c>
      <c r="I95" s="251"/>
      <c r="J95" s="252"/>
    </row>
    <row r="96" spans="1:10" x14ac:dyDescent="0.2">
      <c r="A96" s="695" t="s">
        <v>242</v>
      </c>
      <c r="B96" s="695"/>
      <c r="C96" s="695"/>
      <c r="D96" s="695"/>
      <c r="E96" s="695"/>
      <c r="F96" s="346">
        <f>F40+F53+F72+F84+F92</f>
        <v>667</v>
      </c>
      <c r="G96" s="346">
        <f>G40+G53+G72+G84+G92</f>
        <v>1857</v>
      </c>
      <c r="H96" s="255">
        <f>G96/G94</f>
        <v>5.3334895755696887E-2</v>
      </c>
      <c r="I96" s="253"/>
      <c r="J96" s="254"/>
    </row>
    <row r="108" spans="5:5" x14ac:dyDescent="0.2">
      <c r="E108" s="210" t="s">
        <v>334</v>
      </c>
    </row>
  </sheetData>
  <sortState xmlns:xlrd2="http://schemas.microsoft.com/office/spreadsheetml/2017/richdata2" ref="A11:J32">
    <sortCondition ref="E11:E32"/>
  </sortState>
  <mergeCells count="20">
    <mergeCell ref="B73:E73"/>
    <mergeCell ref="A5:J5"/>
    <mergeCell ref="A7:A8"/>
    <mergeCell ref="B7:B8"/>
    <mergeCell ref="C7:C8"/>
    <mergeCell ref="D7:D8"/>
    <mergeCell ref="E7:E8"/>
    <mergeCell ref="F7:F8"/>
    <mergeCell ref="G7:G8"/>
    <mergeCell ref="H7:J7"/>
    <mergeCell ref="B41:E41"/>
    <mergeCell ref="B54:E54"/>
    <mergeCell ref="B59:E59"/>
    <mergeCell ref="B63:E63"/>
    <mergeCell ref="A96:E96"/>
    <mergeCell ref="B77:E77"/>
    <mergeCell ref="B93:E93"/>
    <mergeCell ref="B85:E85"/>
    <mergeCell ref="A94:E94"/>
    <mergeCell ref="A95:E95"/>
  </mergeCells>
  <hyperlinks>
    <hyperlink ref="H1" location="'Table of Contents'!A1" display="Back to Table Of Contents" xr:uid="{552C726D-70C9-446E-9396-49054593C319}"/>
  </hyperlinks>
  <pageMargins left="0.5" right="0.5" top="0.5" bottom="0.5" header="0.5" footer="0.25"/>
  <pageSetup scale="97" orientation="landscape" r:id="rId1"/>
  <headerFooter alignWithMargins="0">
    <oddHeader>&amp;ROctober 2022</oddHeader>
    <oddFooter>&amp;CPage &amp;P of &amp;N&amp;R&amp;8&amp;F</oddFooter>
  </headerFooter>
  <rowBreaks count="2" manualBreakCount="2">
    <brk id="33" max="16383" man="1"/>
    <brk id="69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theme="6"/>
  </sheetPr>
  <dimension ref="A1:M635"/>
  <sheetViews>
    <sheetView zoomScaleNormal="100" zoomScaleSheetLayoutView="80" zoomScalePageLayoutView="80" workbookViewId="0">
      <selection activeCell="D617" sqref="D617"/>
    </sheetView>
  </sheetViews>
  <sheetFormatPr defaultRowHeight="12.75" x14ac:dyDescent="0.2"/>
  <cols>
    <col min="1" max="1" width="6.140625" style="17" customWidth="1"/>
    <col min="2" max="2" width="8.28515625" style="17" customWidth="1"/>
    <col min="3" max="3" width="6" style="17" customWidth="1"/>
    <col min="4" max="4" width="22.140625" style="45" customWidth="1"/>
    <col min="5" max="5" width="9.85546875" style="45" customWidth="1"/>
    <col min="6" max="6" width="35.7109375" style="45" customWidth="1"/>
    <col min="7" max="7" width="9.28515625" style="228" customWidth="1"/>
    <col min="8" max="8" width="10.42578125" style="228" customWidth="1"/>
    <col min="9" max="9" width="8.28515625" style="17" customWidth="1"/>
    <col min="10" max="10" width="9.28515625" style="17" customWidth="1"/>
    <col min="11" max="11" width="8.140625" style="17" customWidth="1"/>
    <col min="12" max="12" width="4.85546875" style="17" customWidth="1"/>
    <col min="13" max="256" width="9.140625" style="17"/>
    <col min="257" max="257" width="6.140625" style="17" customWidth="1"/>
    <col min="258" max="258" width="16.140625" style="17" customWidth="1"/>
    <col min="259" max="259" width="6" style="17" customWidth="1"/>
    <col min="260" max="260" width="17.85546875" style="17" customWidth="1"/>
    <col min="261" max="261" width="8.7109375" style="17" customWidth="1"/>
    <col min="262" max="262" width="30.42578125" style="17" customWidth="1"/>
    <col min="263" max="263" width="11.140625" style="17" customWidth="1"/>
    <col min="264" max="264" width="11.5703125" style="17" customWidth="1"/>
    <col min="265" max="265" width="8.140625" style="17" customWidth="1"/>
    <col min="266" max="266" width="11.140625" style="17" customWidth="1"/>
    <col min="267" max="267" width="8.140625" style="17" customWidth="1"/>
    <col min="268" max="268" width="4.85546875" style="17" customWidth="1"/>
    <col min="269" max="512" width="9.140625" style="17"/>
    <col min="513" max="513" width="6.140625" style="17" customWidth="1"/>
    <col min="514" max="514" width="16.140625" style="17" customWidth="1"/>
    <col min="515" max="515" width="6" style="17" customWidth="1"/>
    <col min="516" max="516" width="17.85546875" style="17" customWidth="1"/>
    <col min="517" max="517" width="8.7109375" style="17" customWidth="1"/>
    <col min="518" max="518" width="30.42578125" style="17" customWidth="1"/>
    <col min="519" max="519" width="11.140625" style="17" customWidth="1"/>
    <col min="520" max="520" width="11.5703125" style="17" customWidth="1"/>
    <col min="521" max="521" width="8.140625" style="17" customWidth="1"/>
    <col min="522" max="522" width="11.140625" style="17" customWidth="1"/>
    <col min="523" max="523" width="8.140625" style="17" customWidth="1"/>
    <col min="524" max="524" width="4.85546875" style="17" customWidth="1"/>
    <col min="525" max="768" width="9.140625" style="17"/>
    <col min="769" max="769" width="6.140625" style="17" customWidth="1"/>
    <col min="770" max="770" width="16.140625" style="17" customWidth="1"/>
    <col min="771" max="771" width="6" style="17" customWidth="1"/>
    <col min="772" max="772" width="17.85546875" style="17" customWidth="1"/>
    <col min="773" max="773" width="8.7109375" style="17" customWidth="1"/>
    <col min="774" max="774" width="30.42578125" style="17" customWidth="1"/>
    <col min="775" max="775" width="11.140625" style="17" customWidth="1"/>
    <col min="776" max="776" width="11.5703125" style="17" customWidth="1"/>
    <col min="777" max="777" width="8.140625" style="17" customWidth="1"/>
    <col min="778" max="778" width="11.140625" style="17" customWidth="1"/>
    <col min="779" max="779" width="8.140625" style="17" customWidth="1"/>
    <col min="780" max="780" width="4.85546875" style="17" customWidth="1"/>
    <col min="781" max="1024" width="9.140625" style="17"/>
    <col min="1025" max="1025" width="6.140625" style="17" customWidth="1"/>
    <col min="1026" max="1026" width="16.140625" style="17" customWidth="1"/>
    <col min="1027" max="1027" width="6" style="17" customWidth="1"/>
    <col min="1028" max="1028" width="17.85546875" style="17" customWidth="1"/>
    <col min="1029" max="1029" width="8.7109375" style="17" customWidth="1"/>
    <col min="1030" max="1030" width="30.42578125" style="17" customWidth="1"/>
    <col min="1031" max="1031" width="11.140625" style="17" customWidth="1"/>
    <col min="1032" max="1032" width="11.5703125" style="17" customWidth="1"/>
    <col min="1033" max="1033" width="8.140625" style="17" customWidth="1"/>
    <col min="1034" max="1034" width="11.140625" style="17" customWidth="1"/>
    <col min="1035" max="1035" width="8.140625" style="17" customWidth="1"/>
    <col min="1036" max="1036" width="4.85546875" style="17" customWidth="1"/>
    <col min="1037" max="1280" width="9.140625" style="17"/>
    <col min="1281" max="1281" width="6.140625" style="17" customWidth="1"/>
    <col min="1282" max="1282" width="16.140625" style="17" customWidth="1"/>
    <col min="1283" max="1283" width="6" style="17" customWidth="1"/>
    <col min="1284" max="1284" width="17.85546875" style="17" customWidth="1"/>
    <col min="1285" max="1285" width="8.7109375" style="17" customWidth="1"/>
    <col min="1286" max="1286" width="30.42578125" style="17" customWidth="1"/>
    <col min="1287" max="1287" width="11.140625" style="17" customWidth="1"/>
    <col min="1288" max="1288" width="11.5703125" style="17" customWidth="1"/>
    <col min="1289" max="1289" width="8.140625" style="17" customWidth="1"/>
    <col min="1290" max="1290" width="11.140625" style="17" customWidth="1"/>
    <col min="1291" max="1291" width="8.140625" style="17" customWidth="1"/>
    <col min="1292" max="1292" width="4.85546875" style="17" customWidth="1"/>
    <col min="1293" max="1536" width="9.140625" style="17"/>
    <col min="1537" max="1537" width="6.140625" style="17" customWidth="1"/>
    <col min="1538" max="1538" width="16.140625" style="17" customWidth="1"/>
    <col min="1539" max="1539" width="6" style="17" customWidth="1"/>
    <col min="1540" max="1540" width="17.85546875" style="17" customWidth="1"/>
    <col min="1541" max="1541" width="8.7109375" style="17" customWidth="1"/>
    <col min="1542" max="1542" width="30.42578125" style="17" customWidth="1"/>
    <col min="1543" max="1543" width="11.140625" style="17" customWidth="1"/>
    <col min="1544" max="1544" width="11.5703125" style="17" customWidth="1"/>
    <col min="1545" max="1545" width="8.140625" style="17" customWidth="1"/>
    <col min="1546" max="1546" width="11.140625" style="17" customWidth="1"/>
    <col min="1547" max="1547" width="8.140625" style="17" customWidth="1"/>
    <col min="1548" max="1548" width="4.85546875" style="17" customWidth="1"/>
    <col min="1549" max="1792" width="9.140625" style="17"/>
    <col min="1793" max="1793" width="6.140625" style="17" customWidth="1"/>
    <col min="1794" max="1794" width="16.140625" style="17" customWidth="1"/>
    <col min="1795" max="1795" width="6" style="17" customWidth="1"/>
    <col min="1796" max="1796" width="17.85546875" style="17" customWidth="1"/>
    <col min="1797" max="1797" width="8.7109375" style="17" customWidth="1"/>
    <col min="1798" max="1798" width="30.42578125" style="17" customWidth="1"/>
    <col min="1799" max="1799" width="11.140625" style="17" customWidth="1"/>
    <col min="1800" max="1800" width="11.5703125" style="17" customWidth="1"/>
    <col min="1801" max="1801" width="8.140625" style="17" customWidth="1"/>
    <col min="1802" max="1802" width="11.140625" style="17" customWidth="1"/>
    <col min="1803" max="1803" width="8.140625" style="17" customWidth="1"/>
    <col min="1804" max="1804" width="4.85546875" style="17" customWidth="1"/>
    <col min="1805" max="2048" width="9.140625" style="17"/>
    <col min="2049" max="2049" width="6.140625" style="17" customWidth="1"/>
    <col min="2050" max="2050" width="16.140625" style="17" customWidth="1"/>
    <col min="2051" max="2051" width="6" style="17" customWidth="1"/>
    <col min="2052" max="2052" width="17.85546875" style="17" customWidth="1"/>
    <col min="2053" max="2053" width="8.7109375" style="17" customWidth="1"/>
    <col min="2054" max="2054" width="30.42578125" style="17" customWidth="1"/>
    <col min="2055" max="2055" width="11.140625" style="17" customWidth="1"/>
    <col min="2056" max="2056" width="11.5703125" style="17" customWidth="1"/>
    <col min="2057" max="2057" width="8.140625" style="17" customWidth="1"/>
    <col min="2058" max="2058" width="11.140625" style="17" customWidth="1"/>
    <col min="2059" max="2059" width="8.140625" style="17" customWidth="1"/>
    <col min="2060" max="2060" width="4.85546875" style="17" customWidth="1"/>
    <col min="2061" max="2304" width="9.140625" style="17"/>
    <col min="2305" max="2305" width="6.140625" style="17" customWidth="1"/>
    <col min="2306" max="2306" width="16.140625" style="17" customWidth="1"/>
    <col min="2307" max="2307" width="6" style="17" customWidth="1"/>
    <col min="2308" max="2308" width="17.85546875" style="17" customWidth="1"/>
    <col min="2309" max="2309" width="8.7109375" style="17" customWidth="1"/>
    <col min="2310" max="2310" width="30.42578125" style="17" customWidth="1"/>
    <col min="2311" max="2311" width="11.140625" style="17" customWidth="1"/>
    <col min="2312" max="2312" width="11.5703125" style="17" customWidth="1"/>
    <col min="2313" max="2313" width="8.140625" style="17" customWidth="1"/>
    <col min="2314" max="2314" width="11.140625" style="17" customWidth="1"/>
    <col min="2315" max="2315" width="8.140625" style="17" customWidth="1"/>
    <col min="2316" max="2316" width="4.85546875" style="17" customWidth="1"/>
    <col min="2317" max="2560" width="9.140625" style="17"/>
    <col min="2561" max="2561" width="6.140625" style="17" customWidth="1"/>
    <col min="2562" max="2562" width="16.140625" style="17" customWidth="1"/>
    <col min="2563" max="2563" width="6" style="17" customWidth="1"/>
    <col min="2564" max="2564" width="17.85546875" style="17" customWidth="1"/>
    <col min="2565" max="2565" width="8.7109375" style="17" customWidth="1"/>
    <col min="2566" max="2566" width="30.42578125" style="17" customWidth="1"/>
    <col min="2567" max="2567" width="11.140625" style="17" customWidth="1"/>
    <col min="2568" max="2568" width="11.5703125" style="17" customWidth="1"/>
    <col min="2569" max="2569" width="8.140625" style="17" customWidth="1"/>
    <col min="2570" max="2570" width="11.140625" style="17" customWidth="1"/>
    <col min="2571" max="2571" width="8.140625" style="17" customWidth="1"/>
    <col min="2572" max="2572" width="4.85546875" style="17" customWidth="1"/>
    <col min="2573" max="2816" width="9.140625" style="17"/>
    <col min="2817" max="2817" width="6.140625" style="17" customWidth="1"/>
    <col min="2818" max="2818" width="16.140625" style="17" customWidth="1"/>
    <col min="2819" max="2819" width="6" style="17" customWidth="1"/>
    <col min="2820" max="2820" width="17.85546875" style="17" customWidth="1"/>
    <col min="2821" max="2821" width="8.7109375" style="17" customWidth="1"/>
    <col min="2822" max="2822" width="30.42578125" style="17" customWidth="1"/>
    <col min="2823" max="2823" width="11.140625" style="17" customWidth="1"/>
    <col min="2824" max="2824" width="11.5703125" style="17" customWidth="1"/>
    <col min="2825" max="2825" width="8.140625" style="17" customWidth="1"/>
    <col min="2826" max="2826" width="11.140625" style="17" customWidth="1"/>
    <col min="2827" max="2827" width="8.140625" style="17" customWidth="1"/>
    <col min="2828" max="2828" width="4.85546875" style="17" customWidth="1"/>
    <col min="2829" max="3072" width="9.140625" style="17"/>
    <col min="3073" max="3073" width="6.140625" style="17" customWidth="1"/>
    <col min="3074" max="3074" width="16.140625" style="17" customWidth="1"/>
    <col min="3075" max="3075" width="6" style="17" customWidth="1"/>
    <col min="3076" max="3076" width="17.85546875" style="17" customWidth="1"/>
    <col min="3077" max="3077" width="8.7109375" style="17" customWidth="1"/>
    <col min="3078" max="3078" width="30.42578125" style="17" customWidth="1"/>
    <col min="3079" max="3079" width="11.140625" style="17" customWidth="1"/>
    <col min="3080" max="3080" width="11.5703125" style="17" customWidth="1"/>
    <col min="3081" max="3081" width="8.140625" style="17" customWidth="1"/>
    <col min="3082" max="3082" width="11.140625" style="17" customWidth="1"/>
    <col min="3083" max="3083" width="8.140625" style="17" customWidth="1"/>
    <col min="3084" max="3084" width="4.85546875" style="17" customWidth="1"/>
    <col min="3085" max="3328" width="9.140625" style="17"/>
    <col min="3329" max="3329" width="6.140625" style="17" customWidth="1"/>
    <col min="3330" max="3330" width="16.140625" style="17" customWidth="1"/>
    <col min="3331" max="3331" width="6" style="17" customWidth="1"/>
    <col min="3332" max="3332" width="17.85546875" style="17" customWidth="1"/>
    <col min="3333" max="3333" width="8.7109375" style="17" customWidth="1"/>
    <col min="3334" max="3334" width="30.42578125" style="17" customWidth="1"/>
    <col min="3335" max="3335" width="11.140625" style="17" customWidth="1"/>
    <col min="3336" max="3336" width="11.5703125" style="17" customWidth="1"/>
    <col min="3337" max="3337" width="8.140625" style="17" customWidth="1"/>
    <col min="3338" max="3338" width="11.140625" style="17" customWidth="1"/>
    <col min="3339" max="3339" width="8.140625" style="17" customWidth="1"/>
    <col min="3340" max="3340" width="4.85546875" style="17" customWidth="1"/>
    <col min="3341" max="3584" width="9.140625" style="17"/>
    <col min="3585" max="3585" width="6.140625" style="17" customWidth="1"/>
    <col min="3586" max="3586" width="16.140625" style="17" customWidth="1"/>
    <col min="3587" max="3587" width="6" style="17" customWidth="1"/>
    <col min="3588" max="3588" width="17.85546875" style="17" customWidth="1"/>
    <col min="3589" max="3589" width="8.7109375" style="17" customWidth="1"/>
    <col min="3590" max="3590" width="30.42578125" style="17" customWidth="1"/>
    <col min="3591" max="3591" width="11.140625" style="17" customWidth="1"/>
    <col min="3592" max="3592" width="11.5703125" style="17" customWidth="1"/>
    <col min="3593" max="3593" width="8.140625" style="17" customWidth="1"/>
    <col min="3594" max="3594" width="11.140625" style="17" customWidth="1"/>
    <col min="3595" max="3595" width="8.140625" style="17" customWidth="1"/>
    <col min="3596" max="3596" width="4.85546875" style="17" customWidth="1"/>
    <col min="3597" max="3840" width="9.140625" style="17"/>
    <col min="3841" max="3841" width="6.140625" style="17" customWidth="1"/>
    <col min="3842" max="3842" width="16.140625" style="17" customWidth="1"/>
    <col min="3843" max="3843" width="6" style="17" customWidth="1"/>
    <col min="3844" max="3844" width="17.85546875" style="17" customWidth="1"/>
    <col min="3845" max="3845" width="8.7109375" style="17" customWidth="1"/>
    <col min="3846" max="3846" width="30.42578125" style="17" customWidth="1"/>
    <col min="3847" max="3847" width="11.140625" style="17" customWidth="1"/>
    <col min="3848" max="3848" width="11.5703125" style="17" customWidth="1"/>
    <col min="3849" max="3849" width="8.140625" style="17" customWidth="1"/>
    <col min="3850" max="3850" width="11.140625" style="17" customWidth="1"/>
    <col min="3851" max="3851" width="8.140625" style="17" customWidth="1"/>
    <col min="3852" max="3852" width="4.85546875" style="17" customWidth="1"/>
    <col min="3853" max="4096" width="9.140625" style="17"/>
    <col min="4097" max="4097" width="6.140625" style="17" customWidth="1"/>
    <col min="4098" max="4098" width="16.140625" style="17" customWidth="1"/>
    <col min="4099" max="4099" width="6" style="17" customWidth="1"/>
    <col min="4100" max="4100" width="17.85546875" style="17" customWidth="1"/>
    <col min="4101" max="4101" width="8.7109375" style="17" customWidth="1"/>
    <col min="4102" max="4102" width="30.42578125" style="17" customWidth="1"/>
    <col min="4103" max="4103" width="11.140625" style="17" customWidth="1"/>
    <col min="4104" max="4104" width="11.5703125" style="17" customWidth="1"/>
    <col min="4105" max="4105" width="8.140625" style="17" customWidth="1"/>
    <col min="4106" max="4106" width="11.140625" style="17" customWidth="1"/>
    <col min="4107" max="4107" width="8.140625" style="17" customWidth="1"/>
    <col min="4108" max="4108" width="4.85546875" style="17" customWidth="1"/>
    <col min="4109" max="4352" width="9.140625" style="17"/>
    <col min="4353" max="4353" width="6.140625" style="17" customWidth="1"/>
    <col min="4354" max="4354" width="16.140625" style="17" customWidth="1"/>
    <col min="4355" max="4355" width="6" style="17" customWidth="1"/>
    <col min="4356" max="4356" width="17.85546875" style="17" customWidth="1"/>
    <col min="4357" max="4357" width="8.7109375" style="17" customWidth="1"/>
    <col min="4358" max="4358" width="30.42578125" style="17" customWidth="1"/>
    <col min="4359" max="4359" width="11.140625" style="17" customWidth="1"/>
    <col min="4360" max="4360" width="11.5703125" style="17" customWidth="1"/>
    <col min="4361" max="4361" width="8.140625" style="17" customWidth="1"/>
    <col min="4362" max="4362" width="11.140625" style="17" customWidth="1"/>
    <col min="4363" max="4363" width="8.140625" style="17" customWidth="1"/>
    <col min="4364" max="4364" width="4.85546875" style="17" customWidth="1"/>
    <col min="4365" max="4608" width="9.140625" style="17"/>
    <col min="4609" max="4609" width="6.140625" style="17" customWidth="1"/>
    <col min="4610" max="4610" width="16.140625" style="17" customWidth="1"/>
    <col min="4611" max="4611" width="6" style="17" customWidth="1"/>
    <col min="4612" max="4612" width="17.85546875" style="17" customWidth="1"/>
    <col min="4613" max="4613" width="8.7109375" style="17" customWidth="1"/>
    <col min="4614" max="4614" width="30.42578125" style="17" customWidth="1"/>
    <col min="4615" max="4615" width="11.140625" style="17" customWidth="1"/>
    <col min="4616" max="4616" width="11.5703125" style="17" customWidth="1"/>
    <col min="4617" max="4617" width="8.140625" style="17" customWidth="1"/>
    <col min="4618" max="4618" width="11.140625" style="17" customWidth="1"/>
    <col min="4619" max="4619" width="8.140625" style="17" customWidth="1"/>
    <col min="4620" max="4620" width="4.85546875" style="17" customWidth="1"/>
    <col min="4621" max="4864" width="9.140625" style="17"/>
    <col min="4865" max="4865" width="6.140625" style="17" customWidth="1"/>
    <col min="4866" max="4866" width="16.140625" style="17" customWidth="1"/>
    <col min="4867" max="4867" width="6" style="17" customWidth="1"/>
    <col min="4868" max="4868" width="17.85546875" style="17" customWidth="1"/>
    <col min="4869" max="4869" width="8.7109375" style="17" customWidth="1"/>
    <col min="4870" max="4870" width="30.42578125" style="17" customWidth="1"/>
    <col min="4871" max="4871" width="11.140625" style="17" customWidth="1"/>
    <col min="4872" max="4872" width="11.5703125" style="17" customWidth="1"/>
    <col min="4873" max="4873" width="8.140625" style="17" customWidth="1"/>
    <col min="4874" max="4874" width="11.140625" style="17" customWidth="1"/>
    <col min="4875" max="4875" width="8.140625" style="17" customWidth="1"/>
    <col min="4876" max="4876" width="4.85546875" style="17" customWidth="1"/>
    <col min="4877" max="5120" width="9.140625" style="17"/>
    <col min="5121" max="5121" width="6.140625" style="17" customWidth="1"/>
    <col min="5122" max="5122" width="16.140625" style="17" customWidth="1"/>
    <col min="5123" max="5123" width="6" style="17" customWidth="1"/>
    <col min="5124" max="5124" width="17.85546875" style="17" customWidth="1"/>
    <col min="5125" max="5125" width="8.7109375" style="17" customWidth="1"/>
    <col min="5126" max="5126" width="30.42578125" style="17" customWidth="1"/>
    <col min="5127" max="5127" width="11.140625" style="17" customWidth="1"/>
    <col min="5128" max="5128" width="11.5703125" style="17" customWidth="1"/>
    <col min="5129" max="5129" width="8.140625" style="17" customWidth="1"/>
    <col min="5130" max="5130" width="11.140625" style="17" customWidth="1"/>
    <col min="5131" max="5131" width="8.140625" style="17" customWidth="1"/>
    <col min="5132" max="5132" width="4.85546875" style="17" customWidth="1"/>
    <col min="5133" max="5376" width="9.140625" style="17"/>
    <col min="5377" max="5377" width="6.140625" style="17" customWidth="1"/>
    <col min="5378" max="5378" width="16.140625" style="17" customWidth="1"/>
    <col min="5379" max="5379" width="6" style="17" customWidth="1"/>
    <col min="5380" max="5380" width="17.85546875" style="17" customWidth="1"/>
    <col min="5381" max="5381" width="8.7109375" style="17" customWidth="1"/>
    <col min="5382" max="5382" width="30.42578125" style="17" customWidth="1"/>
    <col min="5383" max="5383" width="11.140625" style="17" customWidth="1"/>
    <col min="5384" max="5384" width="11.5703125" style="17" customWidth="1"/>
    <col min="5385" max="5385" width="8.140625" style="17" customWidth="1"/>
    <col min="5386" max="5386" width="11.140625" style="17" customWidth="1"/>
    <col min="5387" max="5387" width="8.140625" style="17" customWidth="1"/>
    <col min="5388" max="5388" width="4.85546875" style="17" customWidth="1"/>
    <col min="5389" max="5632" width="9.140625" style="17"/>
    <col min="5633" max="5633" width="6.140625" style="17" customWidth="1"/>
    <col min="5634" max="5634" width="16.140625" style="17" customWidth="1"/>
    <col min="5635" max="5635" width="6" style="17" customWidth="1"/>
    <col min="5636" max="5636" width="17.85546875" style="17" customWidth="1"/>
    <col min="5637" max="5637" width="8.7109375" style="17" customWidth="1"/>
    <col min="5638" max="5638" width="30.42578125" style="17" customWidth="1"/>
    <col min="5639" max="5639" width="11.140625" style="17" customWidth="1"/>
    <col min="5640" max="5640" width="11.5703125" style="17" customWidth="1"/>
    <col min="5641" max="5641" width="8.140625" style="17" customWidth="1"/>
    <col min="5642" max="5642" width="11.140625" style="17" customWidth="1"/>
    <col min="5643" max="5643" width="8.140625" style="17" customWidth="1"/>
    <col min="5644" max="5644" width="4.85546875" style="17" customWidth="1"/>
    <col min="5645" max="5888" width="9.140625" style="17"/>
    <col min="5889" max="5889" width="6.140625" style="17" customWidth="1"/>
    <col min="5890" max="5890" width="16.140625" style="17" customWidth="1"/>
    <col min="5891" max="5891" width="6" style="17" customWidth="1"/>
    <col min="5892" max="5892" width="17.85546875" style="17" customWidth="1"/>
    <col min="5893" max="5893" width="8.7109375" style="17" customWidth="1"/>
    <col min="5894" max="5894" width="30.42578125" style="17" customWidth="1"/>
    <col min="5895" max="5895" width="11.140625" style="17" customWidth="1"/>
    <col min="5896" max="5896" width="11.5703125" style="17" customWidth="1"/>
    <col min="5897" max="5897" width="8.140625" style="17" customWidth="1"/>
    <col min="5898" max="5898" width="11.140625" style="17" customWidth="1"/>
    <col min="5899" max="5899" width="8.140625" style="17" customWidth="1"/>
    <col min="5900" max="5900" width="4.85546875" style="17" customWidth="1"/>
    <col min="5901" max="6144" width="9.140625" style="17"/>
    <col min="6145" max="6145" width="6.140625" style="17" customWidth="1"/>
    <col min="6146" max="6146" width="16.140625" style="17" customWidth="1"/>
    <col min="6147" max="6147" width="6" style="17" customWidth="1"/>
    <col min="6148" max="6148" width="17.85546875" style="17" customWidth="1"/>
    <col min="6149" max="6149" width="8.7109375" style="17" customWidth="1"/>
    <col min="6150" max="6150" width="30.42578125" style="17" customWidth="1"/>
    <col min="6151" max="6151" width="11.140625" style="17" customWidth="1"/>
    <col min="6152" max="6152" width="11.5703125" style="17" customWidth="1"/>
    <col min="6153" max="6153" width="8.140625" style="17" customWidth="1"/>
    <col min="6154" max="6154" width="11.140625" style="17" customWidth="1"/>
    <col min="6155" max="6155" width="8.140625" style="17" customWidth="1"/>
    <col min="6156" max="6156" width="4.85546875" style="17" customWidth="1"/>
    <col min="6157" max="6400" width="9.140625" style="17"/>
    <col min="6401" max="6401" width="6.140625" style="17" customWidth="1"/>
    <col min="6402" max="6402" width="16.140625" style="17" customWidth="1"/>
    <col min="6403" max="6403" width="6" style="17" customWidth="1"/>
    <col min="6404" max="6404" width="17.85546875" style="17" customWidth="1"/>
    <col min="6405" max="6405" width="8.7109375" style="17" customWidth="1"/>
    <col min="6406" max="6406" width="30.42578125" style="17" customWidth="1"/>
    <col min="6407" max="6407" width="11.140625" style="17" customWidth="1"/>
    <col min="6408" max="6408" width="11.5703125" style="17" customWidth="1"/>
    <col min="6409" max="6409" width="8.140625" style="17" customWidth="1"/>
    <col min="6410" max="6410" width="11.140625" style="17" customWidth="1"/>
    <col min="6411" max="6411" width="8.140625" style="17" customWidth="1"/>
    <col min="6412" max="6412" width="4.85546875" style="17" customWidth="1"/>
    <col min="6413" max="6656" width="9.140625" style="17"/>
    <col min="6657" max="6657" width="6.140625" style="17" customWidth="1"/>
    <col min="6658" max="6658" width="16.140625" style="17" customWidth="1"/>
    <col min="6659" max="6659" width="6" style="17" customWidth="1"/>
    <col min="6660" max="6660" width="17.85546875" style="17" customWidth="1"/>
    <col min="6661" max="6661" width="8.7109375" style="17" customWidth="1"/>
    <col min="6662" max="6662" width="30.42578125" style="17" customWidth="1"/>
    <col min="6663" max="6663" width="11.140625" style="17" customWidth="1"/>
    <col min="6664" max="6664" width="11.5703125" style="17" customWidth="1"/>
    <col min="6665" max="6665" width="8.140625" style="17" customWidth="1"/>
    <col min="6666" max="6666" width="11.140625" style="17" customWidth="1"/>
    <col min="6667" max="6667" width="8.140625" style="17" customWidth="1"/>
    <col min="6668" max="6668" width="4.85546875" style="17" customWidth="1"/>
    <col min="6669" max="6912" width="9.140625" style="17"/>
    <col min="6913" max="6913" width="6.140625" style="17" customWidth="1"/>
    <col min="6914" max="6914" width="16.140625" style="17" customWidth="1"/>
    <col min="6915" max="6915" width="6" style="17" customWidth="1"/>
    <col min="6916" max="6916" width="17.85546875" style="17" customWidth="1"/>
    <col min="6917" max="6917" width="8.7109375" style="17" customWidth="1"/>
    <col min="6918" max="6918" width="30.42578125" style="17" customWidth="1"/>
    <col min="6919" max="6919" width="11.140625" style="17" customWidth="1"/>
    <col min="6920" max="6920" width="11.5703125" style="17" customWidth="1"/>
    <col min="6921" max="6921" width="8.140625" style="17" customWidth="1"/>
    <col min="6922" max="6922" width="11.140625" style="17" customWidth="1"/>
    <col min="6923" max="6923" width="8.140625" style="17" customWidth="1"/>
    <col min="6924" max="6924" width="4.85546875" style="17" customWidth="1"/>
    <col min="6925" max="7168" width="9.140625" style="17"/>
    <col min="7169" max="7169" width="6.140625" style="17" customWidth="1"/>
    <col min="7170" max="7170" width="16.140625" style="17" customWidth="1"/>
    <col min="7171" max="7171" width="6" style="17" customWidth="1"/>
    <col min="7172" max="7172" width="17.85546875" style="17" customWidth="1"/>
    <col min="7173" max="7173" width="8.7109375" style="17" customWidth="1"/>
    <col min="7174" max="7174" width="30.42578125" style="17" customWidth="1"/>
    <col min="7175" max="7175" width="11.140625" style="17" customWidth="1"/>
    <col min="7176" max="7176" width="11.5703125" style="17" customWidth="1"/>
    <col min="7177" max="7177" width="8.140625" style="17" customWidth="1"/>
    <col min="7178" max="7178" width="11.140625" style="17" customWidth="1"/>
    <col min="7179" max="7179" width="8.140625" style="17" customWidth="1"/>
    <col min="7180" max="7180" width="4.85546875" style="17" customWidth="1"/>
    <col min="7181" max="7424" width="9.140625" style="17"/>
    <col min="7425" max="7425" width="6.140625" style="17" customWidth="1"/>
    <col min="7426" max="7426" width="16.140625" style="17" customWidth="1"/>
    <col min="7427" max="7427" width="6" style="17" customWidth="1"/>
    <col min="7428" max="7428" width="17.85546875" style="17" customWidth="1"/>
    <col min="7429" max="7429" width="8.7109375" style="17" customWidth="1"/>
    <col min="7430" max="7430" width="30.42578125" style="17" customWidth="1"/>
    <col min="7431" max="7431" width="11.140625" style="17" customWidth="1"/>
    <col min="7432" max="7432" width="11.5703125" style="17" customWidth="1"/>
    <col min="7433" max="7433" width="8.140625" style="17" customWidth="1"/>
    <col min="7434" max="7434" width="11.140625" style="17" customWidth="1"/>
    <col min="7435" max="7435" width="8.140625" style="17" customWidth="1"/>
    <col min="7436" max="7436" width="4.85546875" style="17" customWidth="1"/>
    <col min="7437" max="7680" width="9.140625" style="17"/>
    <col min="7681" max="7681" width="6.140625" style="17" customWidth="1"/>
    <col min="7682" max="7682" width="16.140625" style="17" customWidth="1"/>
    <col min="7683" max="7683" width="6" style="17" customWidth="1"/>
    <col min="7684" max="7684" width="17.85546875" style="17" customWidth="1"/>
    <col min="7685" max="7685" width="8.7109375" style="17" customWidth="1"/>
    <col min="7686" max="7686" width="30.42578125" style="17" customWidth="1"/>
    <col min="7687" max="7687" width="11.140625" style="17" customWidth="1"/>
    <col min="7688" max="7688" width="11.5703125" style="17" customWidth="1"/>
    <col min="7689" max="7689" width="8.140625" style="17" customWidth="1"/>
    <col min="7690" max="7690" width="11.140625" style="17" customWidth="1"/>
    <col min="7691" max="7691" width="8.140625" style="17" customWidth="1"/>
    <col min="7692" max="7692" width="4.85546875" style="17" customWidth="1"/>
    <col min="7693" max="7936" width="9.140625" style="17"/>
    <col min="7937" max="7937" width="6.140625" style="17" customWidth="1"/>
    <col min="7938" max="7938" width="16.140625" style="17" customWidth="1"/>
    <col min="7939" max="7939" width="6" style="17" customWidth="1"/>
    <col min="7940" max="7940" width="17.85546875" style="17" customWidth="1"/>
    <col min="7941" max="7941" width="8.7109375" style="17" customWidth="1"/>
    <col min="7942" max="7942" width="30.42578125" style="17" customWidth="1"/>
    <col min="7943" max="7943" width="11.140625" style="17" customWidth="1"/>
    <col min="7944" max="7944" width="11.5703125" style="17" customWidth="1"/>
    <col min="7945" max="7945" width="8.140625" style="17" customWidth="1"/>
    <col min="7946" max="7946" width="11.140625" style="17" customWidth="1"/>
    <col min="7947" max="7947" width="8.140625" style="17" customWidth="1"/>
    <col min="7948" max="7948" width="4.85546875" style="17" customWidth="1"/>
    <col min="7949" max="8192" width="9.140625" style="17"/>
    <col min="8193" max="8193" width="6.140625" style="17" customWidth="1"/>
    <col min="8194" max="8194" width="16.140625" style="17" customWidth="1"/>
    <col min="8195" max="8195" width="6" style="17" customWidth="1"/>
    <col min="8196" max="8196" width="17.85546875" style="17" customWidth="1"/>
    <col min="8197" max="8197" width="8.7109375" style="17" customWidth="1"/>
    <col min="8198" max="8198" width="30.42578125" style="17" customWidth="1"/>
    <col min="8199" max="8199" width="11.140625" style="17" customWidth="1"/>
    <col min="8200" max="8200" width="11.5703125" style="17" customWidth="1"/>
    <col min="8201" max="8201" width="8.140625" style="17" customWidth="1"/>
    <col min="8202" max="8202" width="11.140625" style="17" customWidth="1"/>
    <col min="8203" max="8203" width="8.140625" style="17" customWidth="1"/>
    <col min="8204" max="8204" width="4.85546875" style="17" customWidth="1"/>
    <col min="8205" max="8448" width="9.140625" style="17"/>
    <col min="8449" max="8449" width="6.140625" style="17" customWidth="1"/>
    <col min="8450" max="8450" width="16.140625" style="17" customWidth="1"/>
    <col min="8451" max="8451" width="6" style="17" customWidth="1"/>
    <col min="8452" max="8452" width="17.85546875" style="17" customWidth="1"/>
    <col min="8453" max="8453" width="8.7109375" style="17" customWidth="1"/>
    <col min="8454" max="8454" width="30.42578125" style="17" customWidth="1"/>
    <col min="8455" max="8455" width="11.140625" style="17" customWidth="1"/>
    <col min="8456" max="8456" width="11.5703125" style="17" customWidth="1"/>
    <col min="8457" max="8457" width="8.140625" style="17" customWidth="1"/>
    <col min="8458" max="8458" width="11.140625" style="17" customWidth="1"/>
    <col min="8459" max="8459" width="8.140625" style="17" customWidth="1"/>
    <col min="8460" max="8460" width="4.85546875" style="17" customWidth="1"/>
    <col min="8461" max="8704" width="9.140625" style="17"/>
    <col min="8705" max="8705" width="6.140625" style="17" customWidth="1"/>
    <col min="8706" max="8706" width="16.140625" style="17" customWidth="1"/>
    <col min="8707" max="8707" width="6" style="17" customWidth="1"/>
    <col min="8708" max="8708" width="17.85546875" style="17" customWidth="1"/>
    <col min="8709" max="8709" width="8.7109375" style="17" customWidth="1"/>
    <col min="8710" max="8710" width="30.42578125" style="17" customWidth="1"/>
    <col min="8711" max="8711" width="11.140625" style="17" customWidth="1"/>
    <col min="8712" max="8712" width="11.5703125" style="17" customWidth="1"/>
    <col min="8713" max="8713" width="8.140625" style="17" customWidth="1"/>
    <col min="8714" max="8714" width="11.140625" style="17" customWidth="1"/>
    <col min="8715" max="8715" width="8.140625" style="17" customWidth="1"/>
    <col min="8716" max="8716" width="4.85546875" style="17" customWidth="1"/>
    <col min="8717" max="8960" width="9.140625" style="17"/>
    <col min="8961" max="8961" width="6.140625" style="17" customWidth="1"/>
    <col min="8962" max="8962" width="16.140625" style="17" customWidth="1"/>
    <col min="8963" max="8963" width="6" style="17" customWidth="1"/>
    <col min="8964" max="8964" width="17.85546875" style="17" customWidth="1"/>
    <col min="8965" max="8965" width="8.7109375" style="17" customWidth="1"/>
    <col min="8966" max="8966" width="30.42578125" style="17" customWidth="1"/>
    <col min="8967" max="8967" width="11.140625" style="17" customWidth="1"/>
    <col min="8968" max="8968" width="11.5703125" style="17" customWidth="1"/>
    <col min="8969" max="8969" width="8.140625" style="17" customWidth="1"/>
    <col min="8970" max="8970" width="11.140625" style="17" customWidth="1"/>
    <col min="8971" max="8971" width="8.140625" style="17" customWidth="1"/>
    <col min="8972" max="8972" width="4.85546875" style="17" customWidth="1"/>
    <col min="8973" max="9216" width="9.140625" style="17"/>
    <col min="9217" max="9217" width="6.140625" style="17" customWidth="1"/>
    <col min="9218" max="9218" width="16.140625" style="17" customWidth="1"/>
    <col min="9219" max="9219" width="6" style="17" customWidth="1"/>
    <col min="9220" max="9220" width="17.85546875" style="17" customWidth="1"/>
    <col min="9221" max="9221" width="8.7109375" style="17" customWidth="1"/>
    <col min="9222" max="9222" width="30.42578125" style="17" customWidth="1"/>
    <col min="9223" max="9223" width="11.140625" style="17" customWidth="1"/>
    <col min="9224" max="9224" width="11.5703125" style="17" customWidth="1"/>
    <col min="9225" max="9225" width="8.140625" style="17" customWidth="1"/>
    <col min="9226" max="9226" width="11.140625" style="17" customWidth="1"/>
    <col min="9227" max="9227" width="8.140625" style="17" customWidth="1"/>
    <col min="9228" max="9228" width="4.85546875" style="17" customWidth="1"/>
    <col min="9229" max="9472" width="9.140625" style="17"/>
    <col min="9473" max="9473" width="6.140625" style="17" customWidth="1"/>
    <col min="9474" max="9474" width="16.140625" style="17" customWidth="1"/>
    <col min="9475" max="9475" width="6" style="17" customWidth="1"/>
    <col min="9476" max="9476" width="17.85546875" style="17" customWidth="1"/>
    <col min="9477" max="9477" width="8.7109375" style="17" customWidth="1"/>
    <col min="9478" max="9478" width="30.42578125" style="17" customWidth="1"/>
    <col min="9479" max="9479" width="11.140625" style="17" customWidth="1"/>
    <col min="9480" max="9480" width="11.5703125" style="17" customWidth="1"/>
    <col min="9481" max="9481" width="8.140625" style="17" customWidth="1"/>
    <col min="9482" max="9482" width="11.140625" style="17" customWidth="1"/>
    <col min="9483" max="9483" width="8.140625" style="17" customWidth="1"/>
    <col min="9484" max="9484" width="4.85546875" style="17" customWidth="1"/>
    <col min="9485" max="9728" width="9.140625" style="17"/>
    <col min="9729" max="9729" width="6.140625" style="17" customWidth="1"/>
    <col min="9730" max="9730" width="16.140625" style="17" customWidth="1"/>
    <col min="9731" max="9731" width="6" style="17" customWidth="1"/>
    <col min="9732" max="9732" width="17.85546875" style="17" customWidth="1"/>
    <col min="9733" max="9733" width="8.7109375" style="17" customWidth="1"/>
    <col min="9734" max="9734" width="30.42578125" style="17" customWidth="1"/>
    <col min="9735" max="9735" width="11.140625" style="17" customWidth="1"/>
    <col min="9736" max="9736" width="11.5703125" style="17" customWidth="1"/>
    <col min="9737" max="9737" width="8.140625" style="17" customWidth="1"/>
    <col min="9738" max="9738" width="11.140625" style="17" customWidth="1"/>
    <col min="9739" max="9739" width="8.140625" style="17" customWidth="1"/>
    <col min="9740" max="9740" width="4.85546875" style="17" customWidth="1"/>
    <col min="9741" max="9984" width="9.140625" style="17"/>
    <col min="9985" max="9985" width="6.140625" style="17" customWidth="1"/>
    <col min="9986" max="9986" width="16.140625" style="17" customWidth="1"/>
    <col min="9987" max="9987" width="6" style="17" customWidth="1"/>
    <col min="9988" max="9988" width="17.85546875" style="17" customWidth="1"/>
    <col min="9989" max="9989" width="8.7109375" style="17" customWidth="1"/>
    <col min="9990" max="9990" width="30.42578125" style="17" customWidth="1"/>
    <col min="9991" max="9991" width="11.140625" style="17" customWidth="1"/>
    <col min="9992" max="9992" width="11.5703125" style="17" customWidth="1"/>
    <col min="9993" max="9993" width="8.140625" style="17" customWidth="1"/>
    <col min="9994" max="9994" width="11.140625" style="17" customWidth="1"/>
    <col min="9995" max="9995" width="8.140625" style="17" customWidth="1"/>
    <col min="9996" max="9996" width="4.85546875" style="17" customWidth="1"/>
    <col min="9997" max="10240" width="9.140625" style="17"/>
    <col min="10241" max="10241" width="6.140625" style="17" customWidth="1"/>
    <col min="10242" max="10242" width="16.140625" style="17" customWidth="1"/>
    <col min="10243" max="10243" width="6" style="17" customWidth="1"/>
    <col min="10244" max="10244" width="17.85546875" style="17" customWidth="1"/>
    <col min="10245" max="10245" width="8.7109375" style="17" customWidth="1"/>
    <col min="10246" max="10246" width="30.42578125" style="17" customWidth="1"/>
    <col min="10247" max="10247" width="11.140625" style="17" customWidth="1"/>
    <col min="10248" max="10248" width="11.5703125" style="17" customWidth="1"/>
    <col min="10249" max="10249" width="8.140625" style="17" customWidth="1"/>
    <col min="10250" max="10250" width="11.140625" style="17" customWidth="1"/>
    <col min="10251" max="10251" width="8.140625" style="17" customWidth="1"/>
    <col min="10252" max="10252" width="4.85546875" style="17" customWidth="1"/>
    <col min="10253" max="10496" width="9.140625" style="17"/>
    <col min="10497" max="10497" width="6.140625" style="17" customWidth="1"/>
    <col min="10498" max="10498" width="16.140625" style="17" customWidth="1"/>
    <col min="10499" max="10499" width="6" style="17" customWidth="1"/>
    <col min="10500" max="10500" width="17.85546875" style="17" customWidth="1"/>
    <col min="10501" max="10501" width="8.7109375" style="17" customWidth="1"/>
    <col min="10502" max="10502" width="30.42578125" style="17" customWidth="1"/>
    <col min="10503" max="10503" width="11.140625" style="17" customWidth="1"/>
    <col min="10504" max="10504" width="11.5703125" style="17" customWidth="1"/>
    <col min="10505" max="10505" width="8.140625" style="17" customWidth="1"/>
    <col min="10506" max="10506" width="11.140625" style="17" customWidth="1"/>
    <col min="10507" max="10507" width="8.140625" style="17" customWidth="1"/>
    <col min="10508" max="10508" width="4.85546875" style="17" customWidth="1"/>
    <col min="10509" max="10752" width="9.140625" style="17"/>
    <col min="10753" max="10753" width="6.140625" style="17" customWidth="1"/>
    <col min="10754" max="10754" width="16.140625" style="17" customWidth="1"/>
    <col min="10755" max="10755" width="6" style="17" customWidth="1"/>
    <col min="10756" max="10756" width="17.85546875" style="17" customWidth="1"/>
    <col min="10757" max="10757" width="8.7109375" style="17" customWidth="1"/>
    <col min="10758" max="10758" width="30.42578125" style="17" customWidth="1"/>
    <col min="10759" max="10759" width="11.140625" style="17" customWidth="1"/>
    <col min="10760" max="10760" width="11.5703125" style="17" customWidth="1"/>
    <col min="10761" max="10761" width="8.140625" style="17" customWidth="1"/>
    <col min="10762" max="10762" width="11.140625" style="17" customWidth="1"/>
    <col min="10763" max="10763" width="8.140625" style="17" customWidth="1"/>
    <col min="10764" max="10764" width="4.85546875" style="17" customWidth="1"/>
    <col min="10765" max="11008" width="9.140625" style="17"/>
    <col min="11009" max="11009" width="6.140625" style="17" customWidth="1"/>
    <col min="11010" max="11010" width="16.140625" style="17" customWidth="1"/>
    <col min="11011" max="11011" width="6" style="17" customWidth="1"/>
    <col min="11012" max="11012" width="17.85546875" style="17" customWidth="1"/>
    <col min="11013" max="11013" width="8.7109375" style="17" customWidth="1"/>
    <col min="11014" max="11014" width="30.42578125" style="17" customWidth="1"/>
    <col min="11015" max="11015" width="11.140625" style="17" customWidth="1"/>
    <col min="11016" max="11016" width="11.5703125" style="17" customWidth="1"/>
    <col min="11017" max="11017" width="8.140625" style="17" customWidth="1"/>
    <col min="11018" max="11018" width="11.140625" style="17" customWidth="1"/>
    <col min="11019" max="11019" width="8.140625" style="17" customWidth="1"/>
    <col min="11020" max="11020" width="4.85546875" style="17" customWidth="1"/>
    <col min="11021" max="11264" width="9.140625" style="17"/>
    <col min="11265" max="11265" width="6.140625" style="17" customWidth="1"/>
    <col min="11266" max="11266" width="16.140625" style="17" customWidth="1"/>
    <col min="11267" max="11267" width="6" style="17" customWidth="1"/>
    <col min="11268" max="11268" width="17.85546875" style="17" customWidth="1"/>
    <col min="11269" max="11269" width="8.7109375" style="17" customWidth="1"/>
    <col min="11270" max="11270" width="30.42578125" style="17" customWidth="1"/>
    <col min="11271" max="11271" width="11.140625" style="17" customWidth="1"/>
    <col min="11272" max="11272" width="11.5703125" style="17" customWidth="1"/>
    <col min="11273" max="11273" width="8.140625" style="17" customWidth="1"/>
    <col min="11274" max="11274" width="11.140625" style="17" customWidth="1"/>
    <col min="11275" max="11275" width="8.140625" style="17" customWidth="1"/>
    <col min="11276" max="11276" width="4.85546875" style="17" customWidth="1"/>
    <col min="11277" max="11520" width="9.140625" style="17"/>
    <col min="11521" max="11521" width="6.140625" style="17" customWidth="1"/>
    <col min="11522" max="11522" width="16.140625" style="17" customWidth="1"/>
    <col min="11523" max="11523" width="6" style="17" customWidth="1"/>
    <col min="11524" max="11524" width="17.85546875" style="17" customWidth="1"/>
    <col min="11525" max="11525" width="8.7109375" style="17" customWidth="1"/>
    <col min="11526" max="11526" width="30.42578125" style="17" customWidth="1"/>
    <col min="11527" max="11527" width="11.140625" style="17" customWidth="1"/>
    <col min="11528" max="11528" width="11.5703125" style="17" customWidth="1"/>
    <col min="11529" max="11529" width="8.140625" style="17" customWidth="1"/>
    <col min="11530" max="11530" width="11.140625" style="17" customWidth="1"/>
    <col min="11531" max="11531" width="8.140625" style="17" customWidth="1"/>
    <col min="11532" max="11532" width="4.85546875" style="17" customWidth="1"/>
    <col min="11533" max="11776" width="9.140625" style="17"/>
    <col min="11777" max="11777" width="6.140625" style="17" customWidth="1"/>
    <col min="11778" max="11778" width="16.140625" style="17" customWidth="1"/>
    <col min="11779" max="11779" width="6" style="17" customWidth="1"/>
    <col min="11780" max="11780" width="17.85546875" style="17" customWidth="1"/>
    <col min="11781" max="11781" width="8.7109375" style="17" customWidth="1"/>
    <col min="11782" max="11782" width="30.42578125" style="17" customWidth="1"/>
    <col min="11783" max="11783" width="11.140625" style="17" customWidth="1"/>
    <col min="11784" max="11784" width="11.5703125" style="17" customWidth="1"/>
    <col min="11785" max="11785" width="8.140625" style="17" customWidth="1"/>
    <col min="11786" max="11786" width="11.140625" style="17" customWidth="1"/>
    <col min="11787" max="11787" width="8.140625" style="17" customWidth="1"/>
    <col min="11788" max="11788" width="4.85546875" style="17" customWidth="1"/>
    <col min="11789" max="12032" width="9.140625" style="17"/>
    <col min="12033" max="12033" width="6.140625" style="17" customWidth="1"/>
    <col min="12034" max="12034" width="16.140625" style="17" customWidth="1"/>
    <col min="12035" max="12035" width="6" style="17" customWidth="1"/>
    <col min="12036" max="12036" width="17.85546875" style="17" customWidth="1"/>
    <col min="12037" max="12037" width="8.7109375" style="17" customWidth="1"/>
    <col min="12038" max="12038" width="30.42578125" style="17" customWidth="1"/>
    <col min="12039" max="12039" width="11.140625" style="17" customWidth="1"/>
    <col min="12040" max="12040" width="11.5703125" style="17" customWidth="1"/>
    <col min="12041" max="12041" width="8.140625" style="17" customWidth="1"/>
    <col min="12042" max="12042" width="11.140625" style="17" customWidth="1"/>
    <col min="12043" max="12043" width="8.140625" style="17" customWidth="1"/>
    <col min="12044" max="12044" width="4.85546875" style="17" customWidth="1"/>
    <col min="12045" max="12288" width="9.140625" style="17"/>
    <col min="12289" max="12289" width="6.140625" style="17" customWidth="1"/>
    <col min="12290" max="12290" width="16.140625" style="17" customWidth="1"/>
    <col min="12291" max="12291" width="6" style="17" customWidth="1"/>
    <col min="12292" max="12292" width="17.85546875" style="17" customWidth="1"/>
    <col min="12293" max="12293" width="8.7109375" style="17" customWidth="1"/>
    <col min="12294" max="12294" width="30.42578125" style="17" customWidth="1"/>
    <col min="12295" max="12295" width="11.140625" style="17" customWidth="1"/>
    <col min="12296" max="12296" width="11.5703125" style="17" customWidth="1"/>
    <col min="12297" max="12297" width="8.140625" style="17" customWidth="1"/>
    <col min="12298" max="12298" width="11.140625" style="17" customWidth="1"/>
    <col min="12299" max="12299" width="8.140625" style="17" customWidth="1"/>
    <col min="12300" max="12300" width="4.85546875" style="17" customWidth="1"/>
    <col min="12301" max="12544" width="9.140625" style="17"/>
    <col min="12545" max="12545" width="6.140625" style="17" customWidth="1"/>
    <col min="12546" max="12546" width="16.140625" style="17" customWidth="1"/>
    <col min="12547" max="12547" width="6" style="17" customWidth="1"/>
    <col min="12548" max="12548" width="17.85546875" style="17" customWidth="1"/>
    <col min="12549" max="12549" width="8.7109375" style="17" customWidth="1"/>
    <col min="12550" max="12550" width="30.42578125" style="17" customWidth="1"/>
    <col min="12551" max="12551" width="11.140625" style="17" customWidth="1"/>
    <col min="12552" max="12552" width="11.5703125" style="17" customWidth="1"/>
    <col min="12553" max="12553" width="8.140625" style="17" customWidth="1"/>
    <col min="12554" max="12554" width="11.140625" style="17" customWidth="1"/>
    <col min="12555" max="12555" width="8.140625" style="17" customWidth="1"/>
    <col min="12556" max="12556" width="4.85546875" style="17" customWidth="1"/>
    <col min="12557" max="12800" width="9.140625" style="17"/>
    <col min="12801" max="12801" width="6.140625" style="17" customWidth="1"/>
    <col min="12802" max="12802" width="16.140625" style="17" customWidth="1"/>
    <col min="12803" max="12803" width="6" style="17" customWidth="1"/>
    <col min="12804" max="12804" width="17.85546875" style="17" customWidth="1"/>
    <col min="12805" max="12805" width="8.7109375" style="17" customWidth="1"/>
    <col min="12806" max="12806" width="30.42578125" style="17" customWidth="1"/>
    <col min="12807" max="12807" width="11.140625" style="17" customWidth="1"/>
    <col min="12808" max="12808" width="11.5703125" style="17" customWidth="1"/>
    <col min="12809" max="12809" width="8.140625" style="17" customWidth="1"/>
    <col min="12810" max="12810" width="11.140625" style="17" customWidth="1"/>
    <col min="12811" max="12811" width="8.140625" style="17" customWidth="1"/>
    <col min="12812" max="12812" width="4.85546875" style="17" customWidth="1"/>
    <col min="12813" max="13056" width="9.140625" style="17"/>
    <col min="13057" max="13057" width="6.140625" style="17" customWidth="1"/>
    <col min="13058" max="13058" width="16.140625" style="17" customWidth="1"/>
    <col min="13059" max="13059" width="6" style="17" customWidth="1"/>
    <col min="13060" max="13060" width="17.85546875" style="17" customWidth="1"/>
    <col min="13061" max="13061" width="8.7109375" style="17" customWidth="1"/>
    <col min="13062" max="13062" width="30.42578125" style="17" customWidth="1"/>
    <col min="13063" max="13063" width="11.140625" style="17" customWidth="1"/>
    <col min="13064" max="13064" width="11.5703125" style="17" customWidth="1"/>
    <col min="13065" max="13065" width="8.140625" style="17" customWidth="1"/>
    <col min="13066" max="13066" width="11.140625" style="17" customWidth="1"/>
    <col min="13067" max="13067" width="8.140625" style="17" customWidth="1"/>
    <col min="13068" max="13068" width="4.85546875" style="17" customWidth="1"/>
    <col min="13069" max="13312" width="9.140625" style="17"/>
    <col min="13313" max="13313" width="6.140625" style="17" customWidth="1"/>
    <col min="13314" max="13314" width="16.140625" style="17" customWidth="1"/>
    <col min="13315" max="13315" width="6" style="17" customWidth="1"/>
    <col min="13316" max="13316" width="17.85546875" style="17" customWidth="1"/>
    <col min="13317" max="13317" width="8.7109375" style="17" customWidth="1"/>
    <col min="13318" max="13318" width="30.42578125" style="17" customWidth="1"/>
    <col min="13319" max="13319" width="11.140625" style="17" customWidth="1"/>
    <col min="13320" max="13320" width="11.5703125" style="17" customWidth="1"/>
    <col min="13321" max="13321" width="8.140625" style="17" customWidth="1"/>
    <col min="13322" max="13322" width="11.140625" style="17" customWidth="1"/>
    <col min="13323" max="13323" width="8.140625" style="17" customWidth="1"/>
    <col min="13324" max="13324" width="4.85546875" style="17" customWidth="1"/>
    <col min="13325" max="13568" width="9.140625" style="17"/>
    <col min="13569" max="13569" width="6.140625" style="17" customWidth="1"/>
    <col min="13570" max="13570" width="16.140625" style="17" customWidth="1"/>
    <col min="13571" max="13571" width="6" style="17" customWidth="1"/>
    <col min="13572" max="13572" width="17.85546875" style="17" customWidth="1"/>
    <col min="13573" max="13573" width="8.7109375" style="17" customWidth="1"/>
    <col min="13574" max="13574" width="30.42578125" style="17" customWidth="1"/>
    <col min="13575" max="13575" width="11.140625" style="17" customWidth="1"/>
    <col min="13576" max="13576" width="11.5703125" style="17" customWidth="1"/>
    <col min="13577" max="13577" width="8.140625" style="17" customWidth="1"/>
    <col min="13578" max="13578" width="11.140625" style="17" customWidth="1"/>
    <col min="13579" max="13579" width="8.140625" style="17" customWidth="1"/>
    <col min="13580" max="13580" width="4.85546875" style="17" customWidth="1"/>
    <col min="13581" max="13824" width="9.140625" style="17"/>
    <col min="13825" max="13825" width="6.140625" style="17" customWidth="1"/>
    <col min="13826" max="13826" width="16.140625" style="17" customWidth="1"/>
    <col min="13827" max="13827" width="6" style="17" customWidth="1"/>
    <col min="13828" max="13828" width="17.85546875" style="17" customWidth="1"/>
    <col min="13829" max="13829" width="8.7109375" style="17" customWidth="1"/>
    <col min="13830" max="13830" width="30.42578125" style="17" customWidth="1"/>
    <col min="13831" max="13831" width="11.140625" style="17" customWidth="1"/>
    <col min="13832" max="13832" width="11.5703125" style="17" customWidth="1"/>
    <col min="13833" max="13833" width="8.140625" style="17" customWidth="1"/>
    <col min="13834" max="13834" width="11.140625" style="17" customWidth="1"/>
    <col min="13835" max="13835" width="8.140625" style="17" customWidth="1"/>
    <col min="13836" max="13836" width="4.85546875" style="17" customWidth="1"/>
    <col min="13837" max="14080" width="9.140625" style="17"/>
    <col min="14081" max="14081" width="6.140625" style="17" customWidth="1"/>
    <col min="14082" max="14082" width="16.140625" style="17" customWidth="1"/>
    <col min="14083" max="14083" width="6" style="17" customWidth="1"/>
    <col min="14084" max="14084" width="17.85546875" style="17" customWidth="1"/>
    <col min="14085" max="14085" width="8.7109375" style="17" customWidth="1"/>
    <col min="14086" max="14086" width="30.42578125" style="17" customWidth="1"/>
    <col min="14087" max="14087" width="11.140625" style="17" customWidth="1"/>
    <col min="14088" max="14088" width="11.5703125" style="17" customWidth="1"/>
    <col min="14089" max="14089" width="8.140625" style="17" customWidth="1"/>
    <col min="14090" max="14090" width="11.140625" style="17" customWidth="1"/>
    <col min="14091" max="14091" width="8.140625" style="17" customWidth="1"/>
    <col min="14092" max="14092" width="4.85546875" style="17" customWidth="1"/>
    <col min="14093" max="14336" width="9.140625" style="17"/>
    <col min="14337" max="14337" width="6.140625" style="17" customWidth="1"/>
    <col min="14338" max="14338" width="16.140625" style="17" customWidth="1"/>
    <col min="14339" max="14339" width="6" style="17" customWidth="1"/>
    <col min="14340" max="14340" width="17.85546875" style="17" customWidth="1"/>
    <col min="14341" max="14341" width="8.7109375" style="17" customWidth="1"/>
    <col min="14342" max="14342" width="30.42578125" style="17" customWidth="1"/>
    <col min="14343" max="14343" width="11.140625" style="17" customWidth="1"/>
    <col min="14344" max="14344" width="11.5703125" style="17" customWidth="1"/>
    <col min="14345" max="14345" width="8.140625" style="17" customWidth="1"/>
    <col min="14346" max="14346" width="11.140625" style="17" customWidth="1"/>
    <col min="14347" max="14347" width="8.140625" style="17" customWidth="1"/>
    <col min="14348" max="14348" width="4.85546875" style="17" customWidth="1"/>
    <col min="14349" max="14592" width="9.140625" style="17"/>
    <col min="14593" max="14593" width="6.140625" style="17" customWidth="1"/>
    <col min="14594" max="14594" width="16.140625" style="17" customWidth="1"/>
    <col min="14595" max="14595" width="6" style="17" customWidth="1"/>
    <col min="14596" max="14596" width="17.85546875" style="17" customWidth="1"/>
    <col min="14597" max="14597" width="8.7109375" style="17" customWidth="1"/>
    <col min="14598" max="14598" width="30.42578125" style="17" customWidth="1"/>
    <col min="14599" max="14599" width="11.140625" style="17" customWidth="1"/>
    <col min="14600" max="14600" width="11.5703125" style="17" customWidth="1"/>
    <col min="14601" max="14601" width="8.140625" style="17" customWidth="1"/>
    <col min="14602" max="14602" width="11.140625" style="17" customWidth="1"/>
    <col min="14603" max="14603" width="8.140625" style="17" customWidth="1"/>
    <col min="14604" max="14604" width="4.85546875" style="17" customWidth="1"/>
    <col min="14605" max="14848" width="9.140625" style="17"/>
    <col min="14849" max="14849" width="6.140625" style="17" customWidth="1"/>
    <col min="14850" max="14850" width="16.140625" style="17" customWidth="1"/>
    <col min="14851" max="14851" width="6" style="17" customWidth="1"/>
    <col min="14852" max="14852" width="17.85546875" style="17" customWidth="1"/>
    <col min="14853" max="14853" width="8.7109375" style="17" customWidth="1"/>
    <col min="14854" max="14854" width="30.42578125" style="17" customWidth="1"/>
    <col min="14855" max="14855" width="11.140625" style="17" customWidth="1"/>
    <col min="14856" max="14856" width="11.5703125" style="17" customWidth="1"/>
    <col min="14857" max="14857" width="8.140625" style="17" customWidth="1"/>
    <col min="14858" max="14858" width="11.140625" style="17" customWidth="1"/>
    <col min="14859" max="14859" width="8.140625" style="17" customWidth="1"/>
    <col min="14860" max="14860" width="4.85546875" style="17" customWidth="1"/>
    <col min="14861" max="15104" width="9.140625" style="17"/>
    <col min="15105" max="15105" width="6.140625" style="17" customWidth="1"/>
    <col min="15106" max="15106" width="16.140625" style="17" customWidth="1"/>
    <col min="15107" max="15107" width="6" style="17" customWidth="1"/>
    <col min="15108" max="15108" width="17.85546875" style="17" customWidth="1"/>
    <col min="15109" max="15109" width="8.7109375" style="17" customWidth="1"/>
    <col min="15110" max="15110" width="30.42578125" style="17" customWidth="1"/>
    <col min="15111" max="15111" width="11.140625" style="17" customWidth="1"/>
    <col min="15112" max="15112" width="11.5703125" style="17" customWidth="1"/>
    <col min="15113" max="15113" width="8.140625" style="17" customWidth="1"/>
    <col min="15114" max="15114" width="11.140625" style="17" customWidth="1"/>
    <col min="15115" max="15115" width="8.140625" style="17" customWidth="1"/>
    <col min="15116" max="15116" width="4.85546875" style="17" customWidth="1"/>
    <col min="15117" max="15360" width="9.140625" style="17"/>
    <col min="15361" max="15361" width="6.140625" style="17" customWidth="1"/>
    <col min="15362" max="15362" width="16.140625" style="17" customWidth="1"/>
    <col min="15363" max="15363" width="6" style="17" customWidth="1"/>
    <col min="15364" max="15364" width="17.85546875" style="17" customWidth="1"/>
    <col min="15365" max="15365" width="8.7109375" style="17" customWidth="1"/>
    <col min="15366" max="15366" width="30.42578125" style="17" customWidth="1"/>
    <col min="15367" max="15367" width="11.140625" style="17" customWidth="1"/>
    <col min="15368" max="15368" width="11.5703125" style="17" customWidth="1"/>
    <col min="15369" max="15369" width="8.140625" style="17" customWidth="1"/>
    <col min="15370" max="15370" width="11.140625" style="17" customWidth="1"/>
    <col min="15371" max="15371" width="8.140625" style="17" customWidth="1"/>
    <col min="15372" max="15372" width="4.85546875" style="17" customWidth="1"/>
    <col min="15373" max="15616" width="9.140625" style="17"/>
    <col min="15617" max="15617" width="6.140625" style="17" customWidth="1"/>
    <col min="15618" max="15618" width="16.140625" style="17" customWidth="1"/>
    <col min="15619" max="15619" width="6" style="17" customWidth="1"/>
    <col min="15620" max="15620" width="17.85546875" style="17" customWidth="1"/>
    <col min="15621" max="15621" width="8.7109375" style="17" customWidth="1"/>
    <col min="15622" max="15622" width="30.42578125" style="17" customWidth="1"/>
    <col min="15623" max="15623" width="11.140625" style="17" customWidth="1"/>
    <col min="15624" max="15624" width="11.5703125" style="17" customWidth="1"/>
    <col min="15625" max="15625" width="8.140625" style="17" customWidth="1"/>
    <col min="15626" max="15626" width="11.140625" style="17" customWidth="1"/>
    <col min="15627" max="15627" width="8.140625" style="17" customWidth="1"/>
    <col min="15628" max="15628" width="4.85546875" style="17" customWidth="1"/>
    <col min="15629" max="15872" width="9.140625" style="17"/>
    <col min="15873" max="15873" width="6.140625" style="17" customWidth="1"/>
    <col min="15874" max="15874" width="16.140625" style="17" customWidth="1"/>
    <col min="15875" max="15875" width="6" style="17" customWidth="1"/>
    <col min="15876" max="15876" width="17.85546875" style="17" customWidth="1"/>
    <col min="15877" max="15877" width="8.7109375" style="17" customWidth="1"/>
    <col min="15878" max="15878" width="30.42578125" style="17" customWidth="1"/>
    <col min="15879" max="15879" width="11.140625" style="17" customWidth="1"/>
    <col min="15880" max="15880" width="11.5703125" style="17" customWidth="1"/>
    <col min="15881" max="15881" width="8.140625" style="17" customWidth="1"/>
    <col min="15882" max="15882" width="11.140625" style="17" customWidth="1"/>
    <col min="15883" max="15883" width="8.140625" style="17" customWidth="1"/>
    <col min="15884" max="15884" width="4.85546875" style="17" customWidth="1"/>
    <col min="15885" max="16128" width="9.140625" style="17"/>
    <col min="16129" max="16129" width="6.140625" style="17" customWidth="1"/>
    <col min="16130" max="16130" width="16.140625" style="17" customWidth="1"/>
    <col min="16131" max="16131" width="6" style="17" customWidth="1"/>
    <col min="16132" max="16132" width="17.85546875" style="17" customWidth="1"/>
    <col min="16133" max="16133" width="8.7109375" style="17" customWidth="1"/>
    <col min="16134" max="16134" width="30.42578125" style="17" customWidth="1"/>
    <col min="16135" max="16135" width="11.140625" style="17" customWidth="1"/>
    <col min="16136" max="16136" width="11.5703125" style="17" customWidth="1"/>
    <col min="16137" max="16137" width="8.140625" style="17" customWidth="1"/>
    <col min="16138" max="16138" width="11.140625" style="17" customWidth="1"/>
    <col min="16139" max="16139" width="8.140625" style="17" customWidth="1"/>
    <col min="16140" max="16140" width="4.85546875" style="17" customWidth="1"/>
    <col min="16141" max="16384" width="9.140625" style="17"/>
  </cols>
  <sheetData>
    <row r="1" spans="1:11" customFormat="1" ht="15" x14ac:dyDescent="0.2">
      <c r="C1" s="10"/>
      <c r="D1" s="29"/>
      <c r="E1" s="219"/>
      <c r="F1" s="220"/>
      <c r="G1" s="31"/>
      <c r="H1" s="227"/>
      <c r="I1" s="212" t="s">
        <v>98</v>
      </c>
    </row>
    <row r="2" spans="1:11" customFormat="1" ht="15" x14ac:dyDescent="0.2">
      <c r="C2" s="10"/>
      <c r="D2" s="29"/>
      <c r="E2" s="219"/>
      <c r="F2" s="220"/>
      <c r="G2" s="31"/>
      <c r="H2" s="102"/>
      <c r="I2" s="1"/>
    </row>
    <row r="3" spans="1:11" customFormat="1" ht="13.9" customHeight="1" x14ac:dyDescent="0.2">
      <c r="C3" s="2"/>
      <c r="D3" s="31"/>
      <c r="E3" s="31"/>
      <c r="F3" s="31"/>
      <c r="G3" s="31"/>
      <c r="H3" s="102"/>
      <c r="I3" s="1"/>
    </row>
    <row r="4" spans="1:11" customFormat="1" x14ac:dyDescent="0.2">
      <c r="D4" s="31"/>
      <c r="E4" s="31"/>
      <c r="F4" s="31"/>
      <c r="G4" s="31"/>
      <c r="H4" s="102"/>
      <c r="I4" s="1"/>
    </row>
    <row r="5" spans="1:11" customFormat="1" x14ac:dyDescent="0.2">
      <c r="D5" s="29"/>
      <c r="E5" s="219"/>
      <c r="F5" s="220"/>
      <c r="G5" s="31"/>
      <c r="H5" s="102"/>
      <c r="I5" s="1"/>
    </row>
    <row r="6" spans="1:11" customFormat="1" ht="15" x14ac:dyDescent="0.2">
      <c r="A6" s="725" t="s">
        <v>4</v>
      </c>
      <c r="B6" s="725"/>
      <c r="C6" s="725"/>
      <c r="D6" s="725"/>
      <c r="E6" s="725"/>
      <c r="F6" s="725"/>
      <c r="G6" s="725"/>
      <c r="H6" s="725"/>
      <c r="I6" s="725"/>
      <c r="J6" s="725"/>
      <c r="K6" s="725"/>
    </row>
    <row r="7" spans="1:11" s="18" customFormat="1" ht="24" customHeight="1" x14ac:dyDescent="0.2">
      <c r="A7" s="728" t="s">
        <v>128</v>
      </c>
      <c r="B7" s="729" t="s">
        <v>183</v>
      </c>
      <c r="C7" s="729" t="s">
        <v>149</v>
      </c>
      <c r="D7" s="729" t="s">
        <v>157</v>
      </c>
      <c r="E7" s="729" t="s">
        <v>158</v>
      </c>
      <c r="F7" s="729" t="s">
        <v>161</v>
      </c>
      <c r="G7" s="726" t="s">
        <v>159</v>
      </c>
      <c r="H7" s="726" t="s">
        <v>160</v>
      </c>
      <c r="I7" s="727" t="s">
        <v>8</v>
      </c>
      <c r="J7" s="727"/>
      <c r="K7" s="727"/>
    </row>
    <row r="8" spans="1:11" s="18" customFormat="1" ht="37.5" customHeight="1" x14ac:dyDescent="0.2">
      <c r="A8" s="728"/>
      <c r="B8" s="729"/>
      <c r="C8" s="729"/>
      <c r="D8" s="729"/>
      <c r="E8" s="729"/>
      <c r="F8" s="729"/>
      <c r="G8" s="726"/>
      <c r="H8" s="726"/>
      <c r="I8" s="133" t="s">
        <v>129</v>
      </c>
      <c r="J8" s="133" t="s">
        <v>150</v>
      </c>
      <c r="K8" s="133" t="s">
        <v>259</v>
      </c>
    </row>
    <row r="9" spans="1:11" x14ac:dyDescent="0.2">
      <c r="A9" s="141" t="s">
        <v>1435</v>
      </c>
      <c r="B9" s="143" t="s">
        <v>218</v>
      </c>
      <c r="C9" s="141" t="s">
        <v>68</v>
      </c>
      <c r="D9" s="143" t="s">
        <v>702</v>
      </c>
      <c r="E9" s="141" t="s">
        <v>741</v>
      </c>
      <c r="F9" s="221" t="s">
        <v>742</v>
      </c>
      <c r="G9" s="144">
        <v>115</v>
      </c>
      <c r="H9" s="145">
        <v>345</v>
      </c>
      <c r="I9" s="146">
        <f t="shared" ref="I9:I15" si="0">H9/$H$633</f>
        <v>9.9087447688289854E-3</v>
      </c>
      <c r="J9" s="146">
        <f t="shared" ref="J9:J15" si="1">H9/$H$634</f>
        <v>1.0467001185956745E-2</v>
      </c>
      <c r="K9" s="146">
        <f t="shared" ref="K9:K15" si="2">H9/$H$247</f>
        <v>2.7424483306836247E-2</v>
      </c>
    </row>
    <row r="10" spans="1:11" x14ac:dyDescent="0.2">
      <c r="A10" s="141" t="s">
        <v>1435</v>
      </c>
      <c r="B10" s="143" t="s">
        <v>218</v>
      </c>
      <c r="C10" s="141" t="s">
        <v>68</v>
      </c>
      <c r="D10" s="143" t="s">
        <v>702</v>
      </c>
      <c r="E10" s="141" t="s">
        <v>743</v>
      </c>
      <c r="F10" s="221" t="s">
        <v>744</v>
      </c>
      <c r="G10" s="144">
        <v>11</v>
      </c>
      <c r="H10" s="145">
        <v>33</v>
      </c>
      <c r="I10" s="146">
        <f t="shared" si="0"/>
        <v>9.4779297788798991E-4</v>
      </c>
      <c r="J10" s="146">
        <f t="shared" si="1"/>
        <v>1.0011914177871669E-3</v>
      </c>
      <c r="K10" s="146">
        <f t="shared" si="2"/>
        <v>2.6232114467408586E-3</v>
      </c>
    </row>
    <row r="11" spans="1:11" x14ac:dyDescent="0.2">
      <c r="A11" s="141" t="s">
        <v>1435</v>
      </c>
      <c r="B11" s="143" t="s">
        <v>218</v>
      </c>
      <c r="C11" s="141" t="s">
        <v>68</v>
      </c>
      <c r="D11" s="143" t="s">
        <v>702</v>
      </c>
      <c r="E11" s="141" t="s">
        <v>745</v>
      </c>
      <c r="F11" s="221" t="s">
        <v>746</v>
      </c>
      <c r="G11" s="144">
        <v>8</v>
      </c>
      <c r="H11" s="145">
        <v>24</v>
      </c>
      <c r="I11" s="146">
        <f t="shared" si="0"/>
        <v>6.8930398391853817E-4</v>
      </c>
      <c r="J11" s="146">
        <f t="shared" si="1"/>
        <v>7.2813921293612136E-4</v>
      </c>
      <c r="K11" s="146">
        <f t="shared" si="2"/>
        <v>1.9077901430842607E-3</v>
      </c>
    </row>
    <row r="12" spans="1:11" ht="24" x14ac:dyDescent="0.2">
      <c r="A12" s="141" t="s">
        <v>1435</v>
      </c>
      <c r="B12" s="143" t="s">
        <v>218</v>
      </c>
      <c r="C12" s="141" t="s">
        <v>68</v>
      </c>
      <c r="D12" s="143" t="s">
        <v>702</v>
      </c>
      <c r="E12" s="141" t="s">
        <v>747</v>
      </c>
      <c r="F12" s="221" t="s">
        <v>748</v>
      </c>
      <c r="G12" s="144">
        <v>4</v>
      </c>
      <c r="H12" s="145">
        <v>12</v>
      </c>
      <c r="I12" s="146">
        <f t="shared" si="0"/>
        <v>3.4465199195926908E-4</v>
      </c>
      <c r="J12" s="146">
        <f t="shared" si="1"/>
        <v>3.6406960646806068E-4</v>
      </c>
      <c r="K12" s="146">
        <f t="shared" si="2"/>
        <v>9.5389507154213036E-4</v>
      </c>
    </row>
    <row r="13" spans="1:11" x14ac:dyDescent="0.2">
      <c r="A13" s="141" t="s">
        <v>1435</v>
      </c>
      <c r="B13" s="143" t="s">
        <v>218</v>
      </c>
      <c r="C13" s="141" t="s">
        <v>68</v>
      </c>
      <c r="D13" s="143" t="s">
        <v>702</v>
      </c>
      <c r="E13" s="141" t="s">
        <v>749</v>
      </c>
      <c r="F13" s="221" t="s">
        <v>549</v>
      </c>
      <c r="G13" s="144">
        <v>10</v>
      </c>
      <c r="H13" s="145">
        <v>30</v>
      </c>
      <c r="I13" s="146">
        <f t="shared" si="0"/>
        <v>8.6162997989817263E-4</v>
      </c>
      <c r="J13" s="146">
        <f t="shared" si="1"/>
        <v>9.1017401617015173E-4</v>
      </c>
      <c r="K13" s="146">
        <f t="shared" si="2"/>
        <v>2.3847376788553257E-3</v>
      </c>
    </row>
    <row r="14" spans="1:11" x14ac:dyDescent="0.2">
      <c r="A14" s="141" t="s">
        <v>1435</v>
      </c>
      <c r="B14" s="143" t="s">
        <v>218</v>
      </c>
      <c r="C14" s="141" t="s">
        <v>68</v>
      </c>
      <c r="D14" s="143" t="s">
        <v>702</v>
      </c>
      <c r="E14" s="141" t="s">
        <v>750</v>
      </c>
      <c r="F14" s="221" t="s">
        <v>751</v>
      </c>
      <c r="G14" s="144">
        <v>3</v>
      </c>
      <c r="H14" s="145">
        <v>9</v>
      </c>
      <c r="I14" s="146">
        <f t="shared" si="0"/>
        <v>2.584889939694518E-4</v>
      </c>
      <c r="J14" s="146">
        <f t="shared" si="1"/>
        <v>2.730522048510455E-4</v>
      </c>
      <c r="K14" s="146">
        <f t="shared" si="2"/>
        <v>7.1542130365659774E-4</v>
      </c>
    </row>
    <row r="15" spans="1:11" x14ac:dyDescent="0.2">
      <c r="A15" s="141" t="s">
        <v>1435</v>
      </c>
      <c r="B15" s="143" t="s">
        <v>218</v>
      </c>
      <c r="C15" s="141" t="s">
        <v>68</v>
      </c>
      <c r="D15" s="143" t="s">
        <v>702</v>
      </c>
      <c r="E15" s="141" t="s">
        <v>1491</v>
      </c>
      <c r="F15" s="221" t="s">
        <v>1492</v>
      </c>
      <c r="G15" s="144">
        <v>4</v>
      </c>
      <c r="H15" s="145">
        <v>16</v>
      </c>
      <c r="I15" s="146">
        <f t="shared" si="0"/>
        <v>4.5953598927902541E-4</v>
      </c>
      <c r="J15" s="146">
        <f t="shared" si="1"/>
        <v>4.854261419574142E-4</v>
      </c>
      <c r="K15" s="146">
        <f t="shared" si="2"/>
        <v>1.2718600953895071E-3</v>
      </c>
    </row>
    <row r="16" spans="1:11" hidden="1" x14ac:dyDescent="0.2">
      <c r="A16" s="295"/>
      <c r="B16" s="294"/>
      <c r="C16" s="295"/>
      <c r="D16" s="294"/>
      <c r="E16" s="295"/>
      <c r="F16" s="296"/>
      <c r="G16" s="297"/>
      <c r="H16" s="298"/>
      <c r="I16" s="299"/>
      <c r="J16" s="299"/>
      <c r="K16" s="299"/>
    </row>
    <row r="17" spans="1:11" x14ac:dyDescent="0.2">
      <c r="A17" s="542"/>
      <c r="B17" s="543"/>
      <c r="C17" s="542"/>
      <c r="D17" s="716" t="s">
        <v>1462</v>
      </c>
      <c r="E17" s="716"/>
      <c r="F17" s="716"/>
      <c r="G17" s="544">
        <f>SUM(G9:G16)</f>
        <v>155</v>
      </c>
      <c r="H17" s="544">
        <f>SUM(H9:H16)</f>
        <v>469</v>
      </c>
      <c r="I17" s="541">
        <f t="shared" ref="I17:I48" si="3">H17/$H$633</f>
        <v>1.3470148685741432E-2</v>
      </c>
      <c r="J17" s="545">
        <f t="shared" ref="J17:J48" si="4">H17/$H$634</f>
        <v>1.4229053786126704E-2</v>
      </c>
      <c r="K17" s="545">
        <f t="shared" ref="K17:K48" si="5">H17/$H$247</f>
        <v>3.7281399046104925E-2</v>
      </c>
    </row>
    <row r="18" spans="1:11" x14ac:dyDescent="0.2">
      <c r="A18" s="334" t="s">
        <v>1435</v>
      </c>
      <c r="B18" s="326" t="s">
        <v>218</v>
      </c>
      <c r="C18" s="334" t="s">
        <v>68</v>
      </c>
      <c r="D18" s="326" t="s">
        <v>663</v>
      </c>
      <c r="E18" s="334" t="s">
        <v>752</v>
      </c>
      <c r="F18" s="335" t="s">
        <v>504</v>
      </c>
      <c r="G18" s="336">
        <v>61</v>
      </c>
      <c r="H18" s="337">
        <v>183</v>
      </c>
      <c r="I18" s="170">
        <f t="shared" si="3"/>
        <v>5.2559428773788532E-3</v>
      </c>
      <c r="J18" s="170">
        <f t="shared" si="4"/>
        <v>5.5520614986379248E-3</v>
      </c>
      <c r="K18" s="170">
        <f t="shared" si="5"/>
        <v>1.4546899841017489E-2</v>
      </c>
    </row>
    <row r="19" spans="1:11" x14ac:dyDescent="0.2">
      <c r="A19" s="141" t="s">
        <v>1435</v>
      </c>
      <c r="B19" s="143" t="s">
        <v>218</v>
      </c>
      <c r="C19" s="141" t="s">
        <v>68</v>
      </c>
      <c r="D19" s="143" t="s">
        <v>663</v>
      </c>
      <c r="E19" s="141" t="s">
        <v>753</v>
      </c>
      <c r="F19" s="221" t="s">
        <v>505</v>
      </c>
      <c r="G19" s="144">
        <v>32</v>
      </c>
      <c r="H19" s="145">
        <v>96</v>
      </c>
      <c r="I19" s="146">
        <f t="shared" si="3"/>
        <v>2.7572159356741527E-3</v>
      </c>
      <c r="J19" s="146">
        <f t="shared" si="4"/>
        <v>2.9125568517444854E-3</v>
      </c>
      <c r="K19" s="146">
        <f t="shared" si="5"/>
        <v>7.6311605723370429E-3</v>
      </c>
    </row>
    <row r="20" spans="1:11" x14ac:dyDescent="0.2">
      <c r="A20" s="141" t="s">
        <v>1435</v>
      </c>
      <c r="B20" s="143" t="s">
        <v>218</v>
      </c>
      <c r="C20" s="141" t="s">
        <v>68</v>
      </c>
      <c r="D20" s="143" t="s">
        <v>663</v>
      </c>
      <c r="E20" s="141" t="s">
        <v>754</v>
      </c>
      <c r="F20" s="221" t="s">
        <v>506</v>
      </c>
      <c r="G20" s="144">
        <v>18</v>
      </c>
      <c r="H20" s="145">
        <v>54</v>
      </c>
      <c r="I20" s="146">
        <f t="shared" si="3"/>
        <v>1.5509339638167109E-3</v>
      </c>
      <c r="J20" s="146">
        <f t="shared" si="4"/>
        <v>1.638313229106273E-3</v>
      </c>
      <c r="K20" s="146">
        <f t="shared" si="5"/>
        <v>4.2925278219395867E-3</v>
      </c>
    </row>
    <row r="21" spans="1:11" x14ac:dyDescent="0.2">
      <c r="A21" s="141" t="s">
        <v>1435</v>
      </c>
      <c r="B21" s="143" t="s">
        <v>218</v>
      </c>
      <c r="C21" s="141" t="s">
        <v>68</v>
      </c>
      <c r="D21" s="143" t="s">
        <v>663</v>
      </c>
      <c r="E21" s="141" t="s">
        <v>755</v>
      </c>
      <c r="F21" s="221" t="s">
        <v>756</v>
      </c>
      <c r="G21" s="144">
        <v>19</v>
      </c>
      <c r="H21" s="145">
        <v>57</v>
      </c>
      <c r="I21" s="146">
        <f t="shared" si="3"/>
        <v>1.6370969618065281E-3</v>
      </c>
      <c r="J21" s="146">
        <f t="shared" si="4"/>
        <v>1.7293306307232881E-3</v>
      </c>
      <c r="K21" s="146">
        <f t="shared" si="5"/>
        <v>4.5310015898251191E-3</v>
      </c>
    </row>
    <row r="22" spans="1:11" x14ac:dyDescent="0.2">
      <c r="A22" s="141" t="s">
        <v>1435</v>
      </c>
      <c r="B22" s="143" t="s">
        <v>218</v>
      </c>
      <c r="C22" s="141" t="s">
        <v>68</v>
      </c>
      <c r="D22" s="143" t="s">
        <v>663</v>
      </c>
      <c r="E22" s="141" t="s">
        <v>757</v>
      </c>
      <c r="F22" s="221" t="s">
        <v>758</v>
      </c>
      <c r="G22" s="144">
        <v>9</v>
      </c>
      <c r="H22" s="145">
        <v>27</v>
      </c>
      <c r="I22" s="146">
        <f t="shared" si="3"/>
        <v>7.7546698190835545E-4</v>
      </c>
      <c r="J22" s="146">
        <f t="shared" si="4"/>
        <v>8.1915661455313649E-4</v>
      </c>
      <c r="K22" s="146">
        <f t="shared" si="5"/>
        <v>2.1462639109697933E-3</v>
      </c>
    </row>
    <row r="23" spans="1:11" x14ac:dyDescent="0.2">
      <c r="A23" s="141" t="s">
        <v>1435</v>
      </c>
      <c r="B23" s="143" t="s">
        <v>218</v>
      </c>
      <c r="C23" s="141" t="s">
        <v>68</v>
      </c>
      <c r="D23" s="143" t="s">
        <v>663</v>
      </c>
      <c r="E23" s="141" t="s">
        <v>759</v>
      </c>
      <c r="F23" s="221" t="s">
        <v>760</v>
      </c>
      <c r="G23" s="144">
        <v>7</v>
      </c>
      <c r="H23" s="145">
        <v>21</v>
      </c>
      <c r="I23" s="146">
        <f t="shared" si="3"/>
        <v>6.0314098592872088E-4</v>
      </c>
      <c r="J23" s="146">
        <f t="shared" si="4"/>
        <v>6.3712181131910623E-4</v>
      </c>
      <c r="K23" s="146">
        <f t="shared" si="5"/>
        <v>1.6693163751987281E-3</v>
      </c>
    </row>
    <row r="24" spans="1:11" x14ac:dyDescent="0.2">
      <c r="A24" s="141" t="s">
        <v>1435</v>
      </c>
      <c r="B24" s="143" t="s">
        <v>218</v>
      </c>
      <c r="C24" s="141" t="s">
        <v>68</v>
      </c>
      <c r="D24" s="143" t="s">
        <v>663</v>
      </c>
      <c r="E24" s="141" t="s">
        <v>761</v>
      </c>
      <c r="F24" s="221" t="s">
        <v>762</v>
      </c>
      <c r="G24" s="144">
        <v>8</v>
      </c>
      <c r="H24" s="145">
        <v>24</v>
      </c>
      <c r="I24" s="146">
        <f t="shared" si="3"/>
        <v>6.8930398391853817E-4</v>
      </c>
      <c r="J24" s="146">
        <f t="shared" si="4"/>
        <v>7.2813921293612136E-4</v>
      </c>
      <c r="K24" s="146">
        <f t="shared" si="5"/>
        <v>1.9077901430842607E-3</v>
      </c>
    </row>
    <row r="25" spans="1:11" x14ac:dyDescent="0.2">
      <c r="A25" s="141" t="s">
        <v>1435</v>
      </c>
      <c r="B25" s="143" t="s">
        <v>218</v>
      </c>
      <c r="C25" s="141" t="s">
        <v>68</v>
      </c>
      <c r="D25" s="143" t="s">
        <v>663</v>
      </c>
      <c r="E25" s="141" t="s">
        <v>1493</v>
      </c>
      <c r="F25" s="221" t="s">
        <v>1494</v>
      </c>
      <c r="G25" s="144">
        <v>5</v>
      </c>
      <c r="H25" s="145">
        <v>15</v>
      </c>
      <c r="I25" s="146">
        <f t="shared" si="3"/>
        <v>4.3081498994908631E-4</v>
      </c>
      <c r="J25" s="146">
        <f t="shared" si="4"/>
        <v>4.5508700808507586E-4</v>
      </c>
      <c r="K25" s="146">
        <f t="shared" si="5"/>
        <v>1.1923688394276629E-3</v>
      </c>
    </row>
    <row r="26" spans="1:11" x14ac:dyDescent="0.2">
      <c r="A26" s="141" t="s">
        <v>1435</v>
      </c>
      <c r="B26" s="143" t="s">
        <v>218</v>
      </c>
      <c r="C26" s="141" t="s">
        <v>68</v>
      </c>
      <c r="D26" s="143" t="s">
        <v>663</v>
      </c>
      <c r="E26" s="141" t="s">
        <v>763</v>
      </c>
      <c r="F26" s="221" t="s">
        <v>507</v>
      </c>
      <c r="G26" s="144">
        <v>10</v>
      </c>
      <c r="H26" s="145">
        <v>30</v>
      </c>
      <c r="I26" s="146">
        <f t="shared" si="3"/>
        <v>8.6162997989817263E-4</v>
      </c>
      <c r="J26" s="146">
        <f t="shared" si="4"/>
        <v>9.1017401617015173E-4</v>
      </c>
      <c r="K26" s="146">
        <f t="shared" si="5"/>
        <v>2.3847376788553257E-3</v>
      </c>
    </row>
    <row r="27" spans="1:11" x14ac:dyDescent="0.2">
      <c r="A27" s="141" t="s">
        <v>1435</v>
      </c>
      <c r="B27" s="143" t="s">
        <v>218</v>
      </c>
      <c r="C27" s="141" t="s">
        <v>68</v>
      </c>
      <c r="D27" s="143" t="s">
        <v>663</v>
      </c>
      <c r="E27" s="141" t="s">
        <v>764</v>
      </c>
      <c r="F27" s="221" t="s">
        <v>765</v>
      </c>
      <c r="G27" s="144">
        <v>5</v>
      </c>
      <c r="H27" s="145">
        <v>15</v>
      </c>
      <c r="I27" s="146">
        <f t="shared" si="3"/>
        <v>4.3081498994908631E-4</v>
      </c>
      <c r="J27" s="146">
        <f t="shared" si="4"/>
        <v>4.5508700808507586E-4</v>
      </c>
      <c r="K27" s="146">
        <f t="shared" si="5"/>
        <v>1.1923688394276629E-3</v>
      </c>
    </row>
    <row r="28" spans="1:11" x14ac:dyDescent="0.2">
      <c r="A28" s="141" t="s">
        <v>1435</v>
      </c>
      <c r="B28" s="143" t="s">
        <v>218</v>
      </c>
      <c r="C28" s="141" t="s">
        <v>68</v>
      </c>
      <c r="D28" s="143" t="s">
        <v>663</v>
      </c>
      <c r="E28" s="141" t="s">
        <v>766</v>
      </c>
      <c r="F28" s="221" t="s">
        <v>767</v>
      </c>
      <c r="G28" s="144">
        <v>6</v>
      </c>
      <c r="H28" s="145">
        <v>18</v>
      </c>
      <c r="I28" s="146">
        <f t="shared" si="3"/>
        <v>5.169779879389036E-4</v>
      </c>
      <c r="J28" s="146">
        <f t="shared" si="4"/>
        <v>5.4610440970209099E-4</v>
      </c>
      <c r="K28" s="146">
        <f t="shared" si="5"/>
        <v>1.4308426073131955E-3</v>
      </c>
    </row>
    <row r="29" spans="1:11" x14ac:dyDescent="0.2">
      <c r="A29" s="141" t="s">
        <v>1435</v>
      </c>
      <c r="B29" s="143" t="s">
        <v>218</v>
      </c>
      <c r="C29" s="141" t="s">
        <v>68</v>
      </c>
      <c r="D29" s="143" t="s">
        <v>663</v>
      </c>
      <c r="E29" s="141" t="s">
        <v>768</v>
      </c>
      <c r="F29" s="221" t="s">
        <v>769</v>
      </c>
      <c r="G29" s="144">
        <v>5</v>
      </c>
      <c r="H29" s="145">
        <v>15</v>
      </c>
      <c r="I29" s="146">
        <f t="shared" si="3"/>
        <v>4.3081498994908631E-4</v>
      </c>
      <c r="J29" s="146">
        <f t="shared" si="4"/>
        <v>4.5508700808507586E-4</v>
      </c>
      <c r="K29" s="146">
        <f t="shared" si="5"/>
        <v>1.1923688394276629E-3</v>
      </c>
    </row>
    <row r="30" spans="1:11" x14ac:dyDescent="0.2">
      <c r="A30" s="141" t="s">
        <v>1435</v>
      </c>
      <c r="B30" s="143" t="s">
        <v>218</v>
      </c>
      <c r="C30" s="141" t="s">
        <v>68</v>
      </c>
      <c r="D30" s="143" t="s">
        <v>663</v>
      </c>
      <c r="E30" s="141" t="s">
        <v>770</v>
      </c>
      <c r="F30" s="221" t="s">
        <v>508</v>
      </c>
      <c r="G30" s="144">
        <v>3</v>
      </c>
      <c r="H30" s="145">
        <v>9</v>
      </c>
      <c r="I30" s="146">
        <f t="shared" si="3"/>
        <v>2.584889939694518E-4</v>
      </c>
      <c r="J30" s="146">
        <f t="shared" si="4"/>
        <v>2.730522048510455E-4</v>
      </c>
      <c r="K30" s="146">
        <f t="shared" si="5"/>
        <v>7.1542130365659774E-4</v>
      </c>
    </row>
    <row r="31" spans="1:11" x14ac:dyDescent="0.2">
      <c r="A31" s="141" t="s">
        <v>1435</v>
      </c>
      <c r="B31" s="143" t="s">
        <v>218</v>
      </c>
      <c r="C31" s="141" t="s">
        <v>68</v>
      </c>
      <c r="D31" s="143" t="s">
        <v>663</v>
      </c>
      <c r="E31" s="141" t="s">
        <v>771</v>
      </c>
      <c r="F31" s="221" t="s">
        <v>509</v>
      </c>
      <c r="G31" s="144">
        <v>4</v>
      </c>
      <c r="H31" s="145">
        <v>12</v>
      </c>
      <c r="I31" s="146">
        <f t="shared" si="3"/>
        <v>3.4465199195926908E-4</v>
      </c>
      <c r="J31" s="146">
        <f t="shared" si="4"/>
        <v>3.6406960646806068E-4</v>
      </c>
      <c r="K31" s="146">
        <f t="shared" si="5"/>
        <v>9.5389507154213036E-4</v>
      </c>
    </row>
    <row r="32" spans="1:11" ht="24" x14ac:dyDescent="0.2">
      <c r="A32" s="141" t="s">
        <v>1435</v>
      </c>
      <c r="B32" s="143" t="s">
        <v>218</v>
      </c>
      <c r="C32" s="141" t="s">
        <v>68</v>
      </c>
      <c r="D32" s="143" t="s">
        <v>663</v>
      </c>
      <c r="E32" s="141" t="s">
        <v>1495</v>
      </c>
      <c r="F32" s="221" t="s">
        <v>1496</v>
      </c>
      <c r="G32" s="144">
        <v>5</v>
      </c>
      <c r="H32" s="145">
        <v>15</v>
      </c>
      <c r="I32" s="146">
        <f t="shared" si="3"/>
        <v>4.3081498994908631E-4</v>
      </c>
      <c r="J32" s="146">
        <f t="shared" si="4"/>
        <v>4.5508700808507586E-4</v>
      </c>
      <c r="K32" s="146">
        <f t="shared" si="5"/>
        <v>1.1923688394276629E-3</v>
      </c>
    </row>
    <row r="33" spans="1:11" x14ac:dyDescent="0.2">
      <c r="A33" s="141" t="s">
        <v>1435</v>
      </c>
      <c r="B33" s="143" t="s">
        <v>218</v>
      </c>
      <c r="C33" s="141" t="s">
        <v>68</v>
      </c>
      <c r="D33" s="143" t="s">
        <v>663</v>
      </c>
      <c r="E33" s="141" t="s">
        <v>772</v>
      </c>
      <c r="F33" s="221" t="s">
        <v>773</v>
      </c>
      <c r="G33" s="144">
        <v>3</v>
      </c>
      <c r="H33" s="145">
        <v>9</v>
      </c>
      <c r="I33" s="146">
        <f t="shared" si="3"/>
        <v>2.584889939694518E-4</v>
      </c>
      <c r="J33" s="146">
        <f t="shared" si="4"/>
        <v>2.730522048510455E-4</v>
      </c>
      <c r="K33" s="146">
        <f t="shared" si="5"/>
        <v>7.1542130365659774E-4</v>
      </c>
    </row>
    <row r="34" spans="1:11" x14ac:dyDescent="0.2">
      <c r="A34" s="141" t="s">
        <v>1435</v>
      </c>
      <c r="B34" s="143" t="s">
        <v>218</v>
      </c>
      <c r="C34" s="141" t="s">
        <v>68</v>
      </c>
      <c r="D34" s="143" t="s">
        <v>663</v>
      </c>
      <c r="E34" s="141" t="s">
        <v>774</v>
      </c>
      <c r="F34" s="221" t="s">
        <v>775</v>
      </c>
      <c r="G34" s="144">
        <v>3</v>
      </c>
      <c r="H34" s="145">
        <v>9</v>
      </c>
      <c r="I34" s="146">
        <f t="shared" si="3"/>
        <v>2.584889939694518E-4</v>
      </c>
      <c r="J34" s="146">
        <f t="shared" si="4"/>
        <v>2.730522048510455E-4</v>
      </c>
      <c r="K34" s="146">
        <f t="shared" si="5"/>
        <v>7.1542130365659774E-4</v>
      </c>
    </row>
    <row r="35" spans="1:11" x14ac:dyDescent="0.2">
      <c r="A35" s="141" t="s">
        <v>1435</v>
      </c>
      <c r="B35" s="143" t="s">
        <v>218</v>
      </c>
      <c r="C35" s="141" t="s">
        <v>68</v>
      </c>
      <c r="D35" s="143" t="s">
        <v>663</v>
      </c>
      <c r="E35" s="141" t="s">
        <v>1497</v>
      </c>
      <c r="F35" s="221" t="s">
        <v>1498</v>
      </c>
      <c r="G35" s="144">
        <v>1</v>
      </c>
      <c r="H35" s="145">
        <v>3</v>
      </c>
      <c r="I35" s="146">
        <f t="shared" si="3"/>
        <v>8.6162997989817271E-5</v>
      </c>
      <c r="J35" s="146">
        <f t="shared" si="4"/>
        <v>9.101740161701517E-5</v>
      </c>
      <c r="K35" s="146">
        <f t="shared" si="5"/>
        <v>2.3847376788553259E-4</v>
      </c>
    </row>
    <row r="36" spans="1:11" x14ac:dyDescent="0.2">
      <c r="A36" s="141" t="s">
        <v>1435</v>
      </c>
      <c r="B36" s="143" t="s">
        <v>218</v>
      </c>
      <c r="C36" s="141" t="s">
        <v>68</v>
      </c>
      <c r="D36" s="143" t="s">
        <v>663</v>
      </c>
      <c r="E36" s="141" t="s">
        <v>1499</v>
      </c>
      <c r="F36" s="221" t="s">
        <v>1500</v>
      </c>
      <c r="G36" s="144">
        <v>4</v>
      </c>
      <c r="H36" s="145">
        <v>12</v>
      </c>
      <c r="I36" s="146">
        <f t="shared" si="3"/>
        <v>3.4465199195926908E-4</v>
      </c>
      <c r="J36" s="146">
        <f t="shared" si="4"/>
        <v>3.6406960646806068E-4</v>
      </c>
      <c r="K36" s="146">
        <f t="shared" si="5"/>
        <v>9.5389507154213036E-4</v>
      </c>
    </row>
    <row r="37" spans="1:11" x14ac:dyDescent="0.2">
      <c r="A37" s="141" t="s">
        <v>1435</v>
      </c>
      <c r="B37" s="143" t="s">
        <v>218</v>
      </c>
      <c r="C37" s="141" t="s">
        <v>68</v>
      </c>
      <c r="D37" s="143" t="s">
        <v>663</v>
      </c>
      <c r="E37" s="141" t="s">
        <v>776</v>
      </c>
      <c r="F37" s="221" t="s">
        <v>777</v>
      </c>
      <c r="G37" s="144">
        <v>1</v>
      </c>
      <c r="H37" s="145">
        <v>3</v>
      </c>
      <c r="I37" s="146">
        <f t="shared" si="3"/>
        <v>8.6162997989817271E-5</v>
      </c>
      <c r="J37" s="146">
        <f t="shared" si="4"/>
        <v>9.101740161701517E-5</v>
      </c>
      <c r="K37" s="146">
        <f t="shared" si="5"/>
        <v>2.3847376788553259E-4</v>
      </c>
    </row>
    <row r="38" spans="1:11" x14ac:dyDescent="0.2">
      <c r="A38" s="141" t="s">
        <v>1435</v>
      </c>
      <c r="B38" s="143" t="s">
        <v>218</v>
      </c>
      <c r="C38" s="141" t="s">
        <v>68</v>
      </c>
      <c r="D38" s="143" t="s">
        <v>663</v>
      </c>
      <c r="E38" s="141" t="s">
        <v>1501</v>
      </c>
      <c r="F38" s="221" t="s">
        <v>1502</v>
      </c>
      <c r="G38" s="144">
        <v>2</v>
      </c>
      <c r="H38" s="145">
        <v>6</v>
      </c>
      <c r="I38" s="146">
        <f t="shared" si="3"/>
        <v>1.7232599597963454E-4</v>
      </c>
      <c r="J38" s="146">
        <f t="shared" si="4"/>
        <v>1.8203480323403034E-4</v>
      </c>
      <c r="K38" s="146">
        <f t="shared" si="5"/>
        <v>4.7694753577106518E-4</v>
      </c>
    </row>
    <row r="39" spans="1:11" x14ac:dyDescent="0.2">
      <c r="A39" s="141" t="s">
        <v>1435</v>
      </c>
      <c r="B39" s="143" t="s">
        <v>218</v>
      </c>
      <c r="C39" s="141" t="s">
        <v>68</v>
      </c>
      <c r="D39" s="143" t="s">
        <v>663</v>
      </c>
      <c r="E39" s="141" t="s">
        <v>778</v>
      </c>
      <c r="F39" s="221" t="s">
        <v>779</v>
      </c>
      <c r="G39" s="144">
        <v>1</v>
      </c>
      <c r="H39" s="145">
        <v>3</v>
      </c>
      <c r="I39" s="146">
        <f t="shared" si="3"/>
        <v>8.6162997989817271E-5</v>
      </c>
      <c r="J39" s="146">
        <f t="shared" si="4"/>
        <v>9.101740161701517E-5</v>
      </c>
      <c r="K39" s="146">
        <f t="shared" si="5"/>
        <v>2.3847376788553259E-4</v>
      </c>
    </row>
    <row r="40" spans="1:11" x14ac:dyDescent="0.2">
      <c r="A40" s="295" t="s">
        <v>1435</v>
      </c>
      <c r="B40" s="294" t="s">
        <v>218</v>
      </c>
      <c r="C40" s="295" t="s">
        <v>68</v>
      </c>
      <c r="D40" s="294" t="s">
        <v>663</v>
      </c>
      <c r="E40" s="295" t="s">
        <v>1503</v>
      </c>
      <c r="F40" s="296" t="s">
        <v>559</v>
      </c>
      <c r="G40" s="297">
        <v>2</v>
      </c>
      <c r="H40" s="298">
        <v>6</v>
      </c>
      <c r="I40" s="299">
        <f t="shared" si="3"/>
        <v>1.7232599597963454E-4</v>
      </c>
      <c r="J40" s="299">
        <f t="shared" si="4"/>
        <v>1.8203480323403034E-4</v>
      </c>
      <c r="K40" s="299">
        <f t="shared" si="5"/>
        <v>4.7694753577106518E-4</v>
      </c>
    </row>
    <row r="41" spans="1:11" x14ac:dyDescent="0.2">
      <c r="A41" s="542"/>
      <c r="B41" s="543"/>
      <c r="C41" s="542"/>
      <c r="D41" s="716" t="s">
        <v>1463</v>
      </c>
      <c r="E41" s="716"/>
      <c r="F41" s="716"/>
      <c r="G41" s="544">
        <f>SUM(G18:G40)</f>
        <v>214</v>
      </c>
      <c r="H41" s="546">
        <f>SUM(H18:H40)</f>
        <v>642</v>
      </c>
      <c r="I41" s="541">
        <f t="shared" si="3"/>
        <v>1.8438881569820896E-2</v>
      </c>
      <c r="J41" s="545">
        <f t="shared" si="4"/>
        <v>1.9477723946041248E-2</v>
      </c>
      <c r="K41" s="545">
        <f t="shared" si="5"/>
        <v>5.1033386327503975E-2</v>
      </c>
    </row>
    <row r="42" spans="1:11" x14ac:dyDescent="0.2">
      <c r="A42" s="334" t="s">
        <v>1435</v>
      </c>
      <c r="B42" s="326" t="s">
        <v>218</v>
      </c>
      <c r="C42" s="334" t="s">
        <v>68</v>
      </c>
      <c r="D42" s="326" t="s">
        <v>703</v>
      </c>
      <c r="E42" s="334" t="s">
        <v>780</v>
      </c>
      <c r="F42" s="335" t="s">
        <v>781</v>
      </c>
      <c r="G42" s="336">
        <v>28</v>
      </c>
      <c r="H42" s="337">
        <v>84</v>
      </c>
      <c r="I42" s="170">
        <f t="shared" si="3"/>
        <v>2.4125639437148835E-3</v>
      </c>
      <c r="J42" s="170">
        <f t="shared" si="4"/>
        <v>2.5484872452764249E-3</v>
      </c>
      <c r="K42" s="170">
        <f t="shared" si="5"/>
        <v>6.6772655007949124E-3</v>
      </c>
    </row>
    <row r="43" spans="1:11" x14ac:dyDescent="0.2">
      <c r="A43" s="141" t="s">
        <v>1435</v>
      </c>
      <c r="B43" s="143" t="s">
        <v>218</v>
      </c>
      <c r="C43" s="141" t="s">
        <v>68</v>
      </c>
      <c r="D43" s="143" t="s">
        <v>703</v>
      </c>
      <c r="E43" s="141" t="s">
        <v>782</v>
      </c>
      <c r="F43" s="221" t="s">
        <v>510</v>
      </c>
      <c r="G43" s="144">
        <v>353</v>
      </c>
      <c r="H43" s="145">
        <v>1059</v>
      </c>
      <c r="I43" s="146">
        <f t="shared" si="3"/>
        <v>3.0415538290405494E-2</v>
      </c>
      <c r="J43" s="146">
        <f t="shared" si="4"/>
        <v>3.2129142770806356E-2</v>
      </c>
      <c r="K43" s="146">
        <f t="shared" si="5"/>
        <v>8.418124006359301E-2</v>
      </c>
    </row>
    <row r="44" spans="1:11" x14ac:dyDescent="0.2">
      <c r="A44" s="141" t="s">
        <v>1435</v>
      </c>
      <c r="B44" s="143" t="s">
        <v>218</v>
      </c>
      <c r="C44" s="141" t="s">
        <v>68</v>
      </c>
      <c r="D44" s="143" t="s">
        <v>703</v>
      </c>
      <c r="E44" s="141" t="s">
        <v>783</v>
      </c>
      <c r="F44" s="221" t="s">
        <v>511</v>
      </c>
      <c r="G44" s="144">
        <v>16</v>
      </c>
      <c r="H44" s="145">
        <v>48</v>
      </c>
      <c r="I44" s="146">
        <f t="shared" si="3"/>
        <v>1.3786079678370763E-3</v>
      </c>
      <c r="J44" s="146">
        <f t="shared" si="4"/>
        <v>1.4562784258722427E-3</v>
      </c>
      <c r="K44" s="146">
        <f t="shared" si="5"/>
        <v>3.8155802861685214E-3</v>
      </c>
    </row>
    <row r="45" spans="1:11" x14ac:dyDescent="0.2">
      <c r="A45" s="141" t="s">
        <v>1435</v>
      </c>
      <c r="B45" s="143" t="s">
        <v>218</v>
      </c>
      <c r="C45" s="141" t="s">
        <v>68</v>
      </c>
      <c r="D45" s="143" t="s">
        <v>703</v>
      </c>
      <c r="E45" s="141" t="s">
        <v>784</v>
      </c>
      <c r="F45" s="221" t="s">
        <v>785</v>
      </c>
      <c r="G45" s="144">
        <v>13</v>
      </c>
      <c r="H45" s="145">
        <v>39</v>
      </c>
      <c r="I45" s="146">
        <f t="shared" si="3"/>
        <v>1.1201189738676244E-3</v>
      </c>
      <c r="J45" s="146">
        <f t="shared" si="4"/>
        <v>1.1832262210211971E-3</v>
      </c>
      <c r="K45" s="146">
        <f t="shared" si="5"/>
        <v>3.1001589825119238E-3</v>
      </c>
    </row>
    <row r="46" spans="1:11" x14ac:dyDescent="0.2">
      <c r="A46" s="141" t="s">
        <v>1435</v>
      </c>
      <c r="B46" s="143" t="s">
        <v>218</v>
      </c>
      <c r="C46" s="141" t="s">
        <v>68</v>
      </c>
      <c r="D46" s="143" t="s">
        <v>703</v>
      </c>
      <c r="E46" s="141" t="s">
        <v>786</v>
      </c>
      <c r="F46" s="221" t="s">
        <v>787</v>
      </c>
      <c r="G46" s="144">
        <v>10</v>
      </c>
      <c r="H46" s="145">
        <v>30</v>
      </c>
      <c r="I46" s="146">
        <f t="shared" si="3"/>
        <v>8.6162997989817263E-4</v>
      </c>
      <c r="J46" s="146">
        <f t="shared" si="4"/>
        <v>9.1017401617015173E-4</v>
      </c>
      <c r="K46" s="146">
        <f t="shared" si="5"/>
        <v>2.3847376788553257E-3</v>
      </c>
    </row>
    <row r="47" spans="1:11" x14ac:dyDescent="0.2">
      <c r="A47" s="141" t="s">
        <v>1435</v>
      </c>
      <c r="B47" s="143" t="s">
        <v>218</v>
      </c>
      <c r="C47" s="141" t="s">
        <v>68</v>
      </c>
      <c r="D47" s="143" t="s">
        <v>703</v>
      </c>
      <c r="E47" s="141" t="s">
        <v>1504</v>
      </c>
      <c r="F47" s="221" t="s">
        <v>1505</v>
      </c>
      <c r="G47" s="144">
        <v>10</v>
      </c>
      <c r="H47" s="145">
        <v>30</v>
      </c>
      <c r="I47" s="146">
        <f t="shared" si="3"/>
        <v>8.6162997989817263E-4</v>
      </c>
      <c r="J47" s="146">
        <f t="shared" si="4"/>
        <v>9.1017401617015173E-4</v>
      </c>
      <c r="K47" s="146">
        <f t="shared" si="5"/>
        <v>2.3847376788553257E-3</v>
      </c>
    </row>
    <row r="48" spans="1:11" x14ac:dyDescent="0.2">
      <c r="A48" s="141" t="s">
        <v>1435</v>
      </c>
      <c r="B48" s="143" t="s">
        <v>218</v>
      </c>
      <c r="C48" s="141" t="s">
        <v>68</v>
      </c>
      <c r="D48" s="143" t="s">
        <v>703</v>
      </c>
      <c r="E48" s="141" t="s">
        <v>788</v>
      </c>
      <c r="F48" s="221" t="s">
        <v>789</v>
      </c>
      <c r="G48" s="144">
        <v>4</v>
      </c>
      <c r="H48" s="145">
        <v>12</v>
      </c>
      <c r="I48" s="146">
        <f t="shared" si="3"/>
        <v>3.4465199195926908E-4</v>
      </c>
      <c r="J48" s="146">
        <f t="shared" si="4"/>
        <v>3.6406960646806068E-4</v>
      </c>
      <c r="K48" s="146">
        <f t="shared" si="5"/>
        <v>9.5389507154213036E-4</v>
      </c>
    </row>
    <row r="49" spans="1:11" x14ac:dyDescent="0.2">
      <c r="A49" s="141" t="s">
        <v>1435</v>
      </c>
      <c r="B49" s="143" t="s">
        <v>218</v>
      </c>
      <c r="C49" s="141" t="s">
        <v>68</v>
      </c>
      <c r="D49" s="143" t="s">
        <v>703</v>
      </c>
      <c r="E49" s="141" t="s">
        <v>790</v>
      </c>
      <c r="F49" s="221" t="s">
        <v>791</v>
      </c>
      <c r="G49" s="144">
        <v>13</v>
      </c>
      <c r="H49" s="145">
        <v>39</v>
      </c>
      <c r="I49" s="146">
        <f t="shared" ref="I49:I80" si="6">H49/$H$633</f>
        <v>1.1201189738676244E-3</v>
      </c>
      <c r="J49" s="146">
        <f t="shared" ref="J49:J80" si="7">H49/$H$634</f>
        <v>1.1832262210211971E-3</v>
      </c>
      <c r="K49" s="146">
        <f t="shared" ref="K49:K80" si="8">H49/$H$247</f>
        <v>3.1001589825119238E-3</v>
      </c>
    </row>
    <row r="50" spans="1:11" x14ac:dyDescent="0.2">
      <c r="A50" s="141" t="s">
        <v>1435</v>
      </c>
      <c r="B50" s="143" t="s">
        <v>218</v>
      </c>
      <c r="C50" s="141" t="s">
        <v>68</v>
      </c>
      <c r="D50" s="143" t="s">
        <v>703</v>
      </c>
      <c r="E50" s="141" t="s">
        <v>1506</v>
      </c>
      <c r="F50" s="221" t="s">
        <v>1507</v>
      </c>
      <c r="G50" s="144">
        <v>17</v>
      </c>
      <c r="H50" s="145">
        <v>51</v>
      </c>
      <c r="I50" s="146">
        <f t="shared" si="6"/>
        <v>1.4647709658268935E-3</v>
      </c>
      <c r="J50" s="146">
        <f t="shared" si="7"/>
        <v>1.5472958274892579E-3</v>
      </c>
      <c r="K50" s="146">
        <f t="shared" si="8"/>
        <v>4.0540540540540543E-3</v>
      </c>
    </row>
    <row r="51" spans="1:11" x14ac:dyDescent="0.2">
      <c r="A51" s="141" t="s">
        <v>1435</v>
      </c>
      <c r="B51" s="143" t="s">
        <v>218</v>
      </c>
      <c r="C51" s="141" t="s">
        <v>68</v>
      </c>
      <c r="D51" s="143" t="s">
        <v>703</v>
      </c>
      <c r="E51" s="141" t="s">
        <v>792</v>
      </c>
      <c r="F51" s="221" t="s">
        <v>793</v>
      </c>
      <c r="G51" s="144">
        <v>17</v>
      </c>
      <c r="H51" s="145">
        <v>51</v>
      </c>
      <c r="I51" s="146">
        <f t="shared" si="6"/>
        <v>1.4647709658268935E-3</v>
      </c>
      <c r="J51" s="146">
        <f t="shared" si="7"/>
        <v>1.5472958274892579E-3</v>
      </c>
      <c r="K51" s="146">
        <f t="shared" si="8"/>
        <v>4.0540540540540543E-3</v>
      </c>
    </row>
    <row r="52" spans="1:11" x14ac:dyDescent="0.2">
      <c r="A52" s="141" t="s">
        <v>1435</v>
      </c>
      <c r="B52" s="143" t="s">
        <v>218</v>
      </c>
      <c r="C52" s="141" t="s">
        <v>68</v>
      </c>
      <c r="D52" s="143" t="s">
        <v>703</v>
      </c>
      <c r="E52" s="141" t="s">
        <v>794</v>
      </c>
      <c r="F52" s="221" t="s">
        <v>795</v>
      </c>
      <c r="G52" s="144">
        <v>10</v>
      </c>
      <c r="H52" s="145">
        <v>30</v>
      </c>
      <c r="I52" s="146">
        <f t="shared" si="6"/>
        <v>8.6162997989817263E-4</v>
      </c>
      <c r="J52" s="146">
        <f t="shared" si="7"/>
        <v>9.1017401617015173E-4</v>
      </c>
      <c r="K52" s="146">
        <f t="shared" si="8"/>
        <v>2.3847376788553257E-3</v>
      </c>
    </row>
    <row r="53" spans="1:11" x14ac:dyDescent="0.2">
      <c r="A53" s="141" t="s">
        <v>1435</v>
      </c>
      <c r="B53" s="143" t="s">
        <v>218</v>
      </c>
      <c r="C53" s="141" t="s">
        <v>68</v>
      </c>
      <c r="D53" s="143" t="s">
        <v>703</v>
      </c>
      <c r="E53" s="141" t="s">
        <v>796</v>
      </c>
      <c r="F53" s="221" t="s">
        <v>512</v>
      </c>
      <c r="G53" s="144">
        <v>1</v>
      </c>
      <c r="H53" s="145">
        <v>3</v>
      </c>
      <c r="I53" s="146">
        <f t="shared" si="6"/>
        <v>8.6162997989817271E-5</v>
      </c>
      <c r="J53" s="146">
        <f t="shared" si="7"/>
        <v>9.101740161701517E-5</v>
      </c>
      <c r="K53" s="146">
        <f t="shared" si="8"/>
        <v>2.3847376788553259E-4</v>
      </c>
    </row>
    <row r="54" spans="1:11" x14ac:dyDescent="0.2">
      <c r="A54" s="141" t="s">
        <v>1435</v>
      </c>
      <c r="B54" s="143" t="s">
        <v>218</v>
      </c>
      <c r="C54" s="141" t="s">
        <v>68</v>
      </c>
      <c r="D54" s="143" t="s">
        <v>703</v>
      </c>
      <c r="E54" s="141" t="s">
        <v>1508</v>
      </c>
      <c r="F54" s="221" t="s">
        <v>1509</v>
      </c>
      <c r="G54" s="144">
        <v>16</v>
      </c>
      <c r="H54" s="145">
        <v>48</v>
      </c>
      <c r="I54" s="146">
        <f t="shared" si="6"/>
        <v>1.3786079678370763E-3</v>
      </c>
      <c r="J54" s="146">
        <f t="shared" si="7"/>
        <v>1.4562784258722427E-3</v>
      </c>
      <c r="K54" s="146">
        <f t="shared" si="8"/>
        <v>3.8155802861685214E-3</v>
      </c>
    </row>
    <row r="55" spans="1:11" x14ac:dyDescent="0.2">
      <c r="A55" s="141" t="s">
        <v>1435</v>
      </c>
      <c r="B55" s="143" t="s">
        <v>218</v>
      </c>
      <c r="C55" s="141" t="s">
        <v>68</v>
      </c>
      <c r="D55" s="143" t="s">
        <v>703</v>
      </c>
      <c r="E55" s="141" t="s">
        <v>797</v>
      </c>
      <c r="F55" s="221" t="s">
        <v>798</v>
      </c>
      <c r="G55" s="144">
        <v>7</v>
      </c>
      <c r="H55" s="145">
        <v>21</v>
      </c>
      <c r="I55" s="146">
        <f t="shared" si="6"/>
        <v>6.0314098592872088E-4</v>
      </c>
      <c r="J55" s="146">
        <f t="shared" si="7"/>
        <v>6.3712181131910623E-4</v>
      </c>
      <c r="K55" s="146">
        <f t="shared" si="8"/>
        <v>1.6693163751987281E-3</v>
      </c>
    </row>
    <row r="56" spans="1:11" ht="24" x14ac:dyDescent="0.2">
      <c r="A56" s="141" t="s">
        <v>1435</v>
      </c>
      <c r="B56" s="143" t="s">
        <v>218</v>
      </c>
      <c r="C56" s="141" t="s">
        <v>68</v>
      </c>
      <c r="D56" s="143" t="s">
        <v>703</v>
      </c>
      <c r="E56" s="141" t="s">
        <v>799</v>
      </c>
      <c r="F56" s="221" t="s">
        <v>800</v>
      </c>
      <c r="G56" s="144">
        <v>11</v>
      </c>
      <c r="H56" s="145">
        <v>33</v>
      </c>
      <c r="I56" s="146">
        <f t="shared" si="6"/>
        <v>9.4779297788798991E-4</v>
      </c>
      <c r="J56" s="146">
        <f t="shared" si="7"/>
        <v>1.0011914177871669E-3</v>
      </c>
      <c r="K56" s="146">
        <f t="shared" si="8"/>
        <v>2.6232114467408586E-3</v>
      </c>
    </row>
    <row r="57" spans="1:11" x14ac:dyDescent="0.2">
      <c r="A57" s="295" t="s">
        <v>1435</v>
      </c>
      <c r="B57" s="294" t="s">
        <v>218</v>
      </c>
      <c r="C57" s="295" t="s">
        <v>68</v>
      </c>
      <c r="D57" s="294" t="s">
        <v>703</v>
      </c>
      <c r="E57" s="295" t="s">
        <v>801</v>
      </c>
      <c r="F57" s="296" t="s">
        <v>512</v>
      </c>
      <c r="G57" s="297">
        <v>10</v>
      </c>
      <c r="H57" s="298">
        <v>30</v>
      </c>
      <c r="I57" s="299">
        <f t="shared" si="6"/>
        <v>8.6162997989817263E-4</v>
      </c>
      <c r="J57" s="299">
        <f t="shared" si="7"/>
        <v>9.1017401617015173E-4</v>
      </c>
      <c r="K57" s="299">
        <f t="shared" si="8"/>
        <v>2.3847376788553257E-3</v>
      </c>
    </row>
    <row r="58" spans="1:11" x14ac:dyDescent="0.2">
      <c r="A58" s="542"/>
      <c r="B58" s="543"/>
      <c r="C58" s="542"/>
      <c r="D58" s="716" t="s">
        <v>1464</v>
      </c>
      <c r="E58" s="716"/>
      <c r="F58" s="716"/>
      <c r="G58" s="544">
        <f>SUM(G42:G57)</f>
        <v>536</v>
      </c>
      <c r="H58" s="544">
        <f>SUM(H42:H57)</f>
        <v>1608</v>
      </c>
      <c r="I58" s="541">
        <f t="shared" si="6"/>
        <v>4.6183366922542053E-2</v>
      </c>
      <c r="J58" s="545">
        <f t="shared" si="7"/>
        <v>4.8785327266720128E-2</v>
      </c>
      <c r="K58" s="545">
        <f t="shared" si="8"/>
        <v>0.12782193958664548</v>
      </c>
    </row>
    <row r="59" spans="1:11" x14ac:dyDescent="0.2">
      <c r="A59" s="547" t="s">
        <v>1435</v>
      </c>
      <c r="B59" s="548" t="s">
        <v>218</v>
      </c>
      <c r="C59" s="547" t="s">
        <v>68</v>
      </c>
      <c r="D59" s="548" t="s">
        <v>513</v>
      </c>
      <c r="E59" s="547" t="s">
        <v>802</v>
      </c>
      <c r="F59" s="549" t="s">
        <v>513</v>
      </c>
      <c r="G59" s="550">
        <v>468</v>
      </c>
      <c r="H59" s="551">
        <v>1404</v>
      </c>
      <c r="I59" s="552">
        <f t="shared" si="6"/>
        <v>4.0324283059234481E-2</v>
      </c>
      <c r="J59" s="552">
        <f t="shared" si="7"/>
        <v>4.2596143956763095E-2</v>
      </c>
      <c r="K59" s="552">
        <f t="shared" si="8"/>
        <v>0.11160572337042925</v>
      </c>
    </row>
    <row r="60" spans="1:11" x14ac:dyDescent="0.2">
      <c r="A60" s="542"/>
      <c r="B60" s="543"/>
      <c r="C60" s="542"/>
      <c r="D60" s="716" t="s">
        <v>1465</v>
      </c>
      <c r="E60" s="716"/>
      <c r="F60" s="716"/>
      <c r="G60" s="544">
        <f>SUM(G59)</f>
        <v>468</v>
      </c>
      <c r="H60" s="544">
        <f>SUM(H59)</f>
        <v>1404</v>
      </c>
      <c r="I60" s="541">
        <f t="shared" si="6"/>
        <v>4.0324283059234481E-2</v>
      </c>
      <c r="J60" s="545">
        <f t="shared" si="7"/>
        <v>4.2596143956763095E-2</v>
      </c>
      <c r="K60" s="545">
        <f t="shared" si="8"/>
        <v>0.11160572337042925</v>
      </c>
    </row>
    <row r="61" spans="1:11" x14ac:dyDescent="0.2">
      <c r="A61" s="334" t="s">
        <v>1435</v>
      </c>
      <c r="B61" s="326" t="s">
        <v>218</v>
      </c>
      <c r="C61" s="334" t="s">
        <v>68</v>
      </c>
      <c r="D61" s="326" t="s">
        <v>704</v>
      </c>
      <c r="E61" s="334" t="s">
        <v>803</v>
      </c>
      <c r="F61" s="335" t="s">
        <v>515</v>
      </c>
      <c r="G61" s="336">
        <v>496</v>
      </c>
      <c r="H61" s="337">
        <v>1488</v>
      </c>
      <c r="I61" s="170">
        <f t="shared" si="6"/>
        <v>4.2736847002949364E-2</v>
      </c>
      <c r="J61" s="170">
        <f t="shared" si="7"/>
        <v>4.5144631202039522E-2</v>
      </c>
      <c r="K61" s="170">
        <f t="shared" si="8"/>
        <v>0.11828298887122417</v>
      </c>
    </row>
    <row r="62" spans="1:11" x14ac:dyDescent="0.2">
      <c r="A62" s="141" t="s">
        <v>1435</v>
      </c>
      <c r="B62" s="143" t="s">
        <v>218</v>
      </c>
      <c r="C62" s="141" t="s">
        <v>68</v>
      </c>
      <c r="D62" s="143" t="s">
        <v>704</v>
      </c>
      <c r="E62" s="141" t="s">
        <v>804</v>
      </c>
      <c r="F62" s="221" t="s">
        <v>516</v>
      </c>
      <c r="G62" s="144">
        <v>184</v>
      </c>
      <c r="H62" s="145">
        <v>552</v>
      </c>
      <c r="I62" s="146">
        <f t="shared" si="6"/>
        <v>1.5853991630126376E-2</v>
      </c>
      <c r="J62" s="146">
        <f t="shared" si="7"/>
        <v>1.6747201897530792E-2</v>
      </c>
      <c r="K62" s="146">
        <f t="shared" si="8"/>
        <v>4.3879173290937996E-2</v>
      </c>
    </row>
    <row r="63" spans="1:11" x14ac:dyDescent="0.2">
      <c r="A63" s="141" t="s">
        <v>1435</v>
      </c>
      <c r="B63" s="143" t="s">
        <v>218</v>
      </c>
      <c r="C63" s="141" t="s">
        <v>68</v>
      </c>
      <c r="D63" s="143" t="s">
        <v>704</v>
      </c>
      <c r="E63" s="141" t="s">
        <v>805</v>
      </c>
      <c r="F63" s="221" t="s">
        <v>806</v>
      </c>
      <c r="G63" s="144">
        <v>75</v>
      </c>
      <c r="H63" s="145">
        <v>225</v>
      </c>
      <c r="I63" s="146">
        <f t="shared" si="6"/>
        <v>6.4622248492362949E-3</v>
      </c>
      <c r="J63" s="146">
        <f t="shared" si="7"/>
        <v>6.826305121276138E-3</v>
      </c>
      <c r="K63" s="146">
        <f t="shared" si="8"/>
        <v>1.7885532591414944E-2</v>
      </c>
    </row>
    <row r="64" spans="1:11" x14ac:dyDescent="0.2">
      <c r="A64" s="141" t="s">
        <v>1435</v>
      </c>
      <c r="B64" s="143" t="s">
        <v>218</v>
      </c>
      <c r="C64" s="141" t="s">
        <v>68</v>
      </c>
      <c r="D64" s="143" t="s">
        <v>704</v>
      </c>
      <c r="E64" s="141" t="s">
        <v>807</v>
      </c>
      <c r="F64" s="221" t="s">
        <v>517</v>
      </c>
      <c r="G64" s="144">
        <v>35</v>
      </c>
      <c r="H64" s="145">
        <v>105</v>
      </c>
      <c r="I64" s="146">
        <f t="shared" si="6"/>
        <v>3.0157049296436044E-3</v>
      </c>
      <c r="J64" s="146">
        <f t="shared" si="7"/>
        <v>3.185609056595531E-3</v>
      </c>
      <c r="K64" s="146">
        <f t="shared" si="8"/>
        <v>8.346581875993641E-3</v>
      </c>
    </row>
    <row r="65" spans="1:11" x14ac:dyDescent="0.2">
      <c r="A65" s="141" t="s">
        <v>1435</v>
      </c>
      <c r="B65" s="143" t="s">
        <v>218</v>
      </c>
      <c r="C65" s="141" t="s">
        <v>68</v>
      </c>
      <c r="D65" s="143" t="s">
        <v>704</v>
      </c>
      <c r="E65" s="141" t="s">
        <v>808</v>
      </c>
      <c r="F65" s="221" t="s">
        <v>809</v>
      </c>
      <c r="G65" s="144">
        <v>14</v>
      </c>
      <c r="H65" s="145">
        <v>42</v>
      </c>
      <c r="I65" s="146">
        <f t="shared" si="6"/>
        <v>1.2062819718574418E-3</v>
      </c>
      <c r="J65" s="146">
        <f t="shared" si="7"/>
        <v>1.2742436226382125E-3</v>
      </c>
      <c r="K65" s="146">
        <f t="shared" si="8"/>
        <v>3.3386327503974562E-3</v>
      </c>
    </row>
    <row r="66" spans="1:11" x14ac:dyDescent="0.2">
      <c r="A66" s="141" t="s">
        <v>1435</v>
      </c>
      <c r="B66" s="143" t="s">
        <v>218</v>
      </c>
      <c r="C66" s="141" t="s">
        <v>68</v>
      </c>
      <c r="D66" s="143" t="s">
        <v>704</v>
      </c>
      <c r="E66" s="141" t="s">
        <v>810</v>
      </c>
      <c r="F66" s="221" t="s">
        <v>811</v>
      </c>
      <c r="G66" s="144">
        <v>24</v>
      </c>
      <c r="H66" s="145">
        <v>72</v>
      </c>
      <c r="I66" s="146">
        <f t="shared" si="6"/>
        <v>2.0679119517556144E-3</v>
      </c>
      <c r="J66" s="146">
        <f t="shared" si="7"/>
        <v>2.184417638808364E-3</v>
      </c>
      <c r="K66" s="146">
        <f t="shared" si="8"/>
        <v>5.723370429252782E-3</v>
      </c>
    </row>
    <row r="67" spans="1:11" x14ac:dyDescent="0.2">
      <c r="A67" s="141" t="s">
        <v>1435</v>
      </c>
      <c r="B67" s="143" t="s">
        <v>218</v>
      </c>
      <c r="C67" s="141" t="s">
        <v>68</v>
      </c>
      <c r="D67" s="143" t="s">
        <v>704</v>
      </c>
      <c r="E67" s="141" t="s">
        <v>812</v>
      </c>
      <c r="F67" s="221" t="s">
        <v>813</v>
      </c>
      <c r="G67" s="144">
        <v>4</v>
      </c>
      <c r="H67" s="145">
        <v>12</v>
      </c>
      <c r="I67" s="146">
        <f t="shared" si="6"/>
        <v>3.4465199195926908E-4</v>
      </c>
      <c r="J67" s="146">
        <f t="shared" si="7"/>
        <v>3.6406960646806068E-4</v>
      </c>
      <c r="K67" s="146">
        <f t="shared" si="8"/>
        <v>9.5389507154213036E-4</v>
      </c>
    </row>
    <row r="68" spans="1:11" x14ac:dyDescent="0.2">
      <c r="A68" s="141" t="s">
        <v>1435</v>
      </c>
      <c r="B68" s="143" t="s">
        <v>218</v>
      </c>
      <c r="C68" s="141" t="s">
        <v>68</v>
      </c>
      <c r="D68" s="143" t="s">
        <v>704</v>
      </c>
      <c r="E68" s="141" t="s">
        <v>814</v>
      </c>
      <c r="F68" s="221" t="s">
        <v>815</v>
      </c>
      <c r="G68" s="144">
        <v>20</v>
      </c>
      <c r="H68" s="145">
        <v>60</v>
      </c>
      <c r="I68" s="146">
        <f t="shared" si="6"/>
        <v>1.7232599597963453E-3</v>
      </c>
      <c r="J68" s="146">
        <f t="shared" si="7"/>
        <v>1.8203480323403035E-3</v>
      </c>
      <c r="K68" s="146">
        <f t="shared" si="8"/>
        <v>4.7694753577106515E-3</v>
      </c>
    </row>
    <row r="69" spans="1:11" x14ac:dyDescent="0.2">
      <c r="A69" s="141" t="s">
        <v>1435</v>
      </c>
      <c r="B69" s="143" t="s">
        <v>218</v>
      </c>
      <c r="C69" s="141" t="s">
        <v>68</v>
      </c>
      <c r="D69" s="143" t="s">
        <v>704</v>
      </c>
      <c r="E69" s="141" t="s">
        <v>816</v>
      </c>
      <c r="F69" s="221" t="s">
        <v>817</v>
      </c>
      <c r="G69" s="144">
        <v>17</v>
      </c>
      <c r="H69" s="145">
        <v>51</v>
      </c>
      <c r="I69" s="146">
        <f t="shared" si="6"/>
        <v>1.4647709658268935E-3</v>
      </c>
      <c r="J69" s="146">
        <f t="shared" si="7"/>
        <v>1.5472958274892579E-3</v>
      </c>
      <c r="K69" s="146">
        <f t="shared" si="8"/>
        <v>4.0540540540540543E-3</v>
      </c>
    </row>
    <row r="70" spans="1:11" x14ac:dyDescent="0.2">
      <c r="A70" s="141" t="s">
        <v>1435</v>
      </c>
      <c r="B70" s="143" t="s">
        <v>218</v>
      </c>
      <c r="C70" s="141" t="s">
        <v>68</v>
      </c>
      <c r="D70" s="143" t="s">
        <v>704</v>
      </c>
      <c r="E70" s="141" t="s">
        <v>818</v>
      </c>
      <c r="F70" s="221" t="s">
        <v>518</v>
      </c>
      <c r="G70" s="144">
        <v>15</v>
      </c>
      <c r="H70" s="145">
        <v>45</v>
      </c>
      <c r="I70" s="146">
        <f t="shared" si="6"/>
        <v>1.2924449698472589E-3</v>
      </c>
      <c r="J70" s="146">
        <f t="shared" si="7"/>
        <v>1.3652610242552276E-3</v>
      </c>
      <c r="K70" s="146">
        <f t="shared" si="8"/>
        <v>3.577106518282989E-3</v>
      </c>
    </row>
    <row r="71" spans="1:11" x14ac:dyDescent="0.2">
      <c r="A71" s="141" t="s">
        <v>1435</v>
      </c>
      <c r="B71" s="143" t="s">
        <v>218</v>
      </c>
      <c r="C71" s="141" t="s">
        <v>68</v>
      </c>
      <c r="D71" s="143" t="s">
        <v>704</v>
      </c>
      <c r="E71" s="141" t="s">
        <v>819</v>
      </c>
      <c r="F71" s="221" t="s">
        <v>820</v>
      </c>
      <c r="G71" s="144">
        <v>3</v>
      </c>
      <c r="H71" s="145">
        <v>9</v>
      </c>
      <c r="I71" s="146">
        <f t="shared" si="6"/>
        <v>2.584889939694518E-4</v>
      </c>
      <c r="J71" s="146">
        <f t="shared" si="7"/>
        <v>2.730522048510455E-4</v>
      </c>
      <c r="K71" s="146">
        <f t="shared" si="8"/>
        <v>7.1542130365659774E-4</v>
      </c>
    </row>
    <row r="72" spans="1:11" ht="24" x14ac:dyDescent="0.2">
      <c r="A72" s="141" t="s">
        <v>1435</v>
      </c>
      <c r="B72" s="143" t="s">
        <v>218</v>
      </c>
      <c r="C72" s="141" t="s">
        <v>68</v>
      </c>
      <c r="D72" s="143" t="s">
        <v>704</v>
      </c>
      <c r="E72" s="141" t="s">
        <v>821</v>
      </c>
      <c r="F72" s="221" t="s">
        <v>822</v>
      </c>
      <c r="G72" s="144">
        <v>10</v>
      </c>
      <c r="H72" s="145">
        <v>30</v>
      </c>
      <c r="I72" s="146">
        <f t="shared" si="6"/>
        <v>8.6162997989817263E-4</v>
      </c>
      <c r="J72" s="146">
        <f t="shared" si="7"/>
        <v>9.1017401617015173E-4</v>
      </c>
      <c r="K72" s="146">
        <f t="shared" si="8"/>
        <v>2.3847376788553257E-3</v>
      </c>
    </row>
    <row r="73" spans="1:11" x14ac:dyDescent="0.2">
      <c r="A73" s="141" t="s">
        <v>1435</v>
      </c>
      <c r="B73" s="143" t="s">
        <v>218</v>
      </c>
      <c r="C73" s="141" t="s">
        <v>68</v>
      </c>
      <c r="D73" s="143" t="s">
        <v>704</v>
      </c>
      <c r="E73" s="141" t="s">
        <v>823</v>
      </c>
      <c r="F73" s="221" t="s">
        <v>824</v>
      </c>
      <c r="G73" s="144">
        <v>6</v>
      </c>
      <c r="H73" s="145">
        <v>18</v>
      </c>
      <c r="I73" s="146">
        <f t="shared" si="6"/>
        <v>5.169779879389036E-4</v>
      </c>
      <c r="J73" s="146">
        <f t="shared" si="7"/>
        <v>5.4610440970209099E-4</v>
      </c>
      <c r="K73" s="146">
        <f t="shared" si="8"/>
        <v>1.4308426073131955E-3</v>
      </c>
    </row>
    <row r="74" spans="1:11" x14ac:dyDescent="0.2">
      <c r="A74" s="141" t="s">
        <v>1435</v>
      </c>
      <c r="B74" s="143" t="s">
        <v>218</v>
      </c>
      <c r="C74" s="141" t="s">
        <v>68</v>
      </c>
      <c r="D74" s="143" t="s">
        <v>704</v>
      </c>
      <c r="E74" s="141" t="s">
        <v>1510</v>
      </c>
      <c r="F74" s="221" t="s">
        <v>1511</v>
      </c>
      <c r="G74" s="144">
        <v>7</v>
      </c>
      <c r="H74" s="145">
        <v>21</v>
      </c>
      <c r="I74" s="146">
        <f t="shared" si="6"/>
        <v>6.0314098592872088E-4</v>
      </c>
      <c r="J74" s="146">
        <f t="shared" si="7"/>
        <v>6.3712181131910623E-4</v>
      </c>
      <c r="K74" s="146">
        <f t="shared" si="8"/>
        <v>1.6693163751987281E-3</v>
      </c>
    </row>
    <row r="75" spans="1:11" x14ac:dyDescent="0.2">
      <c r="A75" s="157"/>
      <c r="B75" s="275"/>
      <c r="C75" s="157"/>
      <c r="D75" s="715" t="s">
        <v>1466</v>
      </c>
      <c r="E75" s="715"/>
      <c r="F75" s="715"/>
      <c r="G75" s="163">
        <f>SUM(G61:G74)</f>
        <v>910</v>
      </c>
      <c r="H75" s="163">
        <f>SUM(H61:H74)</f>
        <v>2730</v>
      </c>
      <c r="I75" s="171">
        <f t="shared" si="6"/>
        <v>7.8408328170733718E-2</v>
      </c>
      <c r="J75" s="158">
        <f t="shared" si="7"/>
        <v>8.2825835471483797E-2</v>
      </c>
      <c r="K75" s="158">
        <f t="shared" si="8"/>
        <v>0.21701112877583467</v>
      </c>
    </row>
    <row r="76" spans="1:11" x14ac:dyDescent="0.2">
      <c r="A76" s="295" t="s">
        <v>1435</v>
      </c>
      <c r="B76" s="294" t="s">
        <v>218</v>
      </c>
      <c r="C76" s="295" t="s">
        <v>68</v>
      </c>
      <c r="D76" s="294" t="s">
        <v>705</v>
      </c>
      <c r="E76" s="295" t="s">
        <v>825</v>
      </c>
      <c r="F76" s="296" t="s">
        <v>826</v>
      </c>
      <c r="G76" s="297">
        <v>33</v>
      </c>
      <c r="H76" s="298">
        <v>99</v>
      </c>
      <c r="I76" s="299">
        <f t="shared" si="6"/>
        <v>2.8433789336639696E-3</v>
      </c>
      <c r="J76" s="299">
        <f t="shared" si="7"/>
        <v>3.0035742533615004E-3</v>
      </c>
      <c r="K76" s="299">
        <f t="shared" si="8"/>
        <v>7.8696343402225762E-3</v>
      </c>
    </row>
    <row r="77" spans="1:11" x14ac:dyDescent="0.2">
      <c r="A77" s="542"/>
      <c r="B77" s="543"/>
      <c r="C77" s="542"/>
      <c r="D77" s="716" t="s">
        <v>1467</v>
      </c>
      <c r="E77" s="716"/>
      <c r="F77" s="716"/>
      <c r="G77" s="544">
        <f>SUM(G76:G76)</f>
        <v>33</v>
      </c>
      <c r="H77" s="544">
        <f>SUM(H76:H76)</f>
        <v>99</v>
      </c>
      <c r="I77" s="541">
        <f t="shared" si="6"/>
        <v>2.8433789336639696E-3</v>
      </c>
      <c r="J77" s="545">
        <f t="shared" si="7"/>
        <v>3.0035742533615004E-3</v>
      </c>
      <c r="K77" s="545">
        <f t="shared" si="8"/>
        <v>7.8696343402225762E-3</v>
      </c>
    </row>
    <row r="78" spans="1:11" x14ac:dyDescent="0.2">
      <c r="A78" s="334" t="s">
        <v>1435</v>
      </c>
      <c r="B78" s="326" t="s">
        <v>218</v>
      </c>
      <c r="C78" s="334" t="s">
        <v>68</v>
      </c>
      <c r="D78" s="326" t="s">
        <v>706</v>
      </c>
      <c r="E78" s="334" t="s">
        <v>827</v>
      </c>
      <c r="F78" s="335" t="s">
        <v>519</v>
      </c>
      <c r="G78" s="336">
        <v>33</v>
      </c>
      <c r="H78" s="337">
        <v>99</v>
      </c>
      <c r="I78" s="170">
        <f t="shared" si="6"/>
        <v>2.8433789336639696E-3</v>
      </c>
      <c r="J78" s="170">
        <f t="shared" si="7"/>
        <v>3.0035742533615004E-3</v>
      </c>
      <c r="K78" s="170">
        <f t="shared" si="8"/>
        <v>7.8696343402225762E-3</v>
      </c>
    </row>
    <row r="79" spans="1:11" x14ac:dyDescent="0.2">
      <c r="A79" s="141" t="s">
        <v>1435</v>
      </c>
      <c r="B79" s="143" t="s">
        <v>218</v>
      </c>
      <c r="C79" s="141" t="s">
        <v>68</v>
      </c>
      <c r="D79" s="143" t="s">
        <v>706</v>
      </c>
      <c r="E79" s="141" t="s">
        <v>828</v>
      </c>
      <c r="F79" s="221" t="s">
        <v>520</v>
      </c>
      <c r="G79" s="144">
        <v>10</v>
      </c>
      <c r="H79" s="145">
        <v>30</v>
      </c>
      <c r="I79" s="146">
        <f t="shared" si="6"/>
        <v>8.6162997989817263E-4</v>
      </c>
      <c r="J79" s="146">
        <f t="shared" si="7"/>
        <v>9.1017401617015173E-4</v>
      </c>
      <c r="K79" s="146">
        <f t="shared" si="8"/>
        <v>2.3847376788553257E-3</v>
      </c>
    </row>
    <row r="80" spans="1:11" x14ac:dyDescent="0.2">
      <c r="A80" s="141" t="s">
        <v>1435</v>
      </c>
      <c r="B80" s="143" t="s">
        <v>218</v>
      </c>
      <c r="C80" s="141" t="s">
        <v>68</v>
      </c>
      <c r="D80" s="143" t="s">
        <v>706</v>
      </c>
      <c r="E80" s="141" t="s">
        <v>829</v>
      </c>
      <c r="F80" s="221" t="s">
        <v>830</v>
      </c>
      <c r="G80" s="144">
        <v>2</v>
      </c>
      <c r="H80" s="145">
        <v>6</v>
      </c>
      <c r="I80" s="146">
        <f t="shared" si="6"/>
        <v>1.7232599597963454E-4</v>
      </c>
      <c r="J80" s="146">
        <f t="shared" si="7"/>
        <v>1.8203480323403034E-4</v>
      </c>
      <c r="K80" s="146">
        <f t="shared" si="8"/>
        <v>4.7694753577106518E-4</v>
      </c>
    </row>
    <row r="81" spans="1:11" hidden="1" x14ac:dyDescent="0.2">
      <c r="A81" s="141"/>
      <c r="B81" s="143"/>
      <c r="C81" s="141"/>
      <c r="D81" s="143"/>
      <c r="E81" s="141"/>
      <c r="F81" s="221"/>
      <c r="G81" s="144"/>
      <c r="H81" s="145"/>
      <c r="I81" s="146"/>
      <c r="J81" s="146"/>
      <c r="K81" s="146"/>
    </row>
    <row r="82" spans="1:11" hidden="1" x14ac:dyDescent="0.2">
      <c r="A82" s="141"/>
      <c r="B82" s="143"/>
      <c r="C82" s="141"/>
      <c r="D82" s="143"/>
      <c r="E82" s="141"/>
      <c r="F82" s="221"/>
      <c r="G82" s="144"/>
      <c r="H82" s="145"/>
      <c r="I82" s="146"/>
      <c r="J82" s="146"/>
      <c r="K82" s="146"/>
    </row>
    <row r="83" spans="1:11" x14ac:dyDescent="0.2">
      <c r="A83" s="157"/>
      <c r="B83" s="275"/>
      <c r="C83" s="157"/>
      <c r="D83" s="715" t="s">
        <v>1468</v>
      </c>
      <c r="E83" s="715"/>
      <c r="F83" s="715"/>
      <c r="G83" s="163">
        <f>SUM(G78:G82)</f>
        <v>45</v>
      </c>
      <c r="H83" s="163">
        <f>SUM(H78:H82)</f>
        <v>135</v>
      </c>
      <c r="I83" s="171">
        <f t="shared" ref="I83:I94" si="9">H83/$H$633</f>
        <v>3.877334909541777E-3</v>
      </c>
      <c r="J83" s="158">
        <f t="shared" ref="J83:J94" si="10">H83/$H$634</f>
        <v>4.0957830727656828E-3</v>
      </c>
      <c r="K83" s="158">
        <f t="shared" ref="K83:K94" si="11">H83/$H$247</f>
        <v>1.0731319554848967E-2</v>
      </c>
    </row>
    <row r="84" spans="1:11" x14ac:dyDescent="0.2">
      <c r="A84" s="141" t="s">
        <v>1435</v>
      </c>
      <c r="B84" s="143" t="s">
        <v>218</v>
      </c>
      <c r="C84" s="141" t="s">
        <v>68</v>
      </c>
      <c r="D84" s="143" t="s">
        <v>707</v>
      </c>
      <c r="E84" s="141" t="s">
        <v>831</v>
      </c>
      <c r="F84" s="221" t="s">
        <v>521</v>
      </c>
      <c r="G84" s="144">
        <v>21</v>
      </c>
      <c r="H84" s="145">
        <v>63</v>
      </c>
      <c r="I84" s="146">
        <f t="shared" si="9"/>
        <v>1.8094229577861626E-3</v>
      </c>
      <c r="J84" s="146">
        <f t="shared" si="10"/>
        <v>1.9113654339573186E-3</v>
      </c>
      <c r="K84" s="146">
        <f t="shared" si="11"/>
        <v>5.0079491255961847E-3</v>
      </c>
    </row>
    <row r="85" spans="1:11" x14ac:dyDescent="0.2">
      <c r="A85" s="141" t="s">
        <v>1435</v>
      </c>
      <c r="B85" s="143" t="s">
        <v>218</v>
      </c>
      <c r="C85" s="141" t="s">
        <v>68</v>
      </c>
      <c r="D85" s="143" t="s">
        <v>707</v>
      </c>
      <c r="E85" s="141" t="s">
        <v>832</v>
      </c>
      <c r="F85" s="221" t="s">
        <v>522</v>
      </c>
      <c r="G85" s="144">
        <v>17</v>
      </c>
      <c r="H85" s="145">
        <v>51</v>
      </c>
      <c r="I85" s="146">
        <f t="shared" si="9"/>
        <v>1.4647709658268935E-3</v>
      </c>
      <c r="J85" s="146">
        <f t="shared" si="10"/>
        <v>1.5472958274892579E-3</v>
      </c>
      <c r="K85" s="146">
        <f t="shared" si="11"/>
        <v>4.0540540540540543E-3</v>
      </c>
    </row>
    <row r="86" spans="1:11" x14ac:dyDescent="0.2">
      <c r="A86" s="141" t="s">
        <v>1435</v>
      </c>
      <c r="B86" s="143" t="s">
        <v>218</v>
      </c>
      <c r="C86" s="141" t="s">
        <v>68</v>
      </c>
      <c r="D86" s="143" t="s">
        <v>707</v>
      </c>
      <c r="E86" s="141" t="s">
        <v>833</v>
      </c>
      <c r="F86" s="221" t="s">
        <v>523</v>
      </c>
      <c r="G86" s="144">
        <v>26</v>
      </c>
      <c r="H86" s="145">
        <v>78</v>
      </c>
      <c r="I86" s="146">
        <f t="shared" si="9"/>
        <v>2.2402379477352487E-3</v>
      </c>
      <c r="J86" s="146">
        <f t="shared" si="10"/>
        <v>2.3664524420423942E-3</v>
      </c>
      <c r="K86" s="146">
        <f t="shared" si="11"/>
        <v>6.2003179650238476E-3</v>
      </c>
    </row>
    <row r="87" spans="1:11" x14ac:dyDescent="0.2">
      <c r="A87" s="141" t="s">
        <v>1435</v>
      </c>
      <c r="B87" s="143" t="s">
        <v>218</v>
      </c>
      <c r="C87" s="141" t="s">
        <v>68</v>
      </c>
      <c r="D87" s="143" t="s">
        <v>707</v>
      </c>
      <c r="E87" s="141" t="s">
        <v>834</v>
      </c>
      <c r="F87" s="221" t="s">
        <v>524</v>
      </c>
      <c r="G87" s="144">
        <v>8</v>
      </c>
      <c r="H87" s="145">
        <v>24</v>
      </c>
      <c r="I87" s="146">
        <f t="shared" si="9"/>
        <v>6.8930398391853817E-4</v>
      </c>
      <c r="J87" s="146">
        <f t="shared" si="10"/>
        <v>7.2813921293612136E-4</v>
      </c>
      <c r="K87" s="146">
        <f t="shared" si="11"/>
        <v>1.9077901430842607E-3</v>
      </c>
    </row>
    <row r="88" spans="1:11" x14ac:dyDescent="0.2">
      <c r="A88" s="141" t="s">
        <v>1435</v>
      </c>
      <c r="B88" s="143" t="s">
        <v>218</v>
      </c>
      <c r="C88" s="141" t="s">
        <v>68</v>
      </c>
      <c r="D88" s="143" t="s">
        <v>707</v>
      </c>
      <c r="E88" s="141" t="s">
        <v>835</v>
      </c>
      <c r="F88" s="221" t="s">
        <v>525</v>
      </c>
      <c r="G88" s="144">
        <v>60</v>
      </c>
      <c r="H88" s="145">
        <v>180</v>
      </c>
      <c r="I88" s="146">
        <f t="shared" si="9"/>
        <v>5.1697798793890358E-3</v>
      </c>
      <c r="J88" s="146">
        <f t="shared" si="10"/>
        <v>5.4610440970209104E-3</v>
      </c>
      <c r="K88" s="146">
        <f t="shared" si="11"/>
        <v>1.4308426073131956E-2</v>
      </c>
    </row>
    <row r="89" spans="1:11" x14ac:dyDescent="0.2">
      <c r="A89" s="141" t="s">
        <v>1435</v>
      </c>
      <c r="B89" s="143" t="s">
        <v>218</v>
      </c>
      <c r="C89" s="141" t="s">
        <v>68</v>
      </c>
      <c r="D89" s="143" t="s">
        <v>707</v>
      </c>
      <c r="E89" s="141" t="s">
        <v>836</v>
      </c>
      <c r="F89" s="221" t="s">
        <v>526</v>
      </c>
      <c r="G89" s="144">
        <v>14</v>
      </c>
      <c r="H89" s="145">
        <v>42</v>
      </c>
      <c r="I89" s="146">
        <f t="shared" si="9"/>
        <v>1.2062819718574418E-3</v>
      </c>
      <c r="J89" s="146">
        <f t="shared" si="10"/>
        <v>1.2742436226382125E-3</v>
      </c>
      <c r="K89" s="146">
        <f t="shared" si="11"/>
        <v>3.3386327503974562E-3</v>
      </c>
    </row>
    <row r="90" spans="1:11" x14ac:dyDescent="0.2">
      <c r="A90" s="141" t="s">
        <v>1435</v>
      </c>
      <c r="B90" s="143" t="s">
        <v>218</v>
      </c>
      <c r="C90" s="141" t="s">
        <v>68</v>
      </c>
      <c r="D90" s="143" t="s">
        <v>707</v>
      </c>
      <c r="E90" s="141" t="s">
        <v>837</v>
      </c>
      <c r="F90" s="221" t="s">
        <v>838</v>
      </c>
      <c r="G90" s="144">
        <v>8</v>
      </c>
      <c r="H90" s="145">
        <v>24</v>
      </c>
      <c r="I90" s="146">
        <f t="shared" si="9"/>
        <v>6.8930398391853817E-4</v>
      </c>
      <c r="J90" s="146">
        <f t="shared" si="10"/>
        <v>7.2813921293612136E-4</v>
      </c>
      <c r="K90" s="146">
        <f t="shared" si="11"/>
        <v>1.9077901430842607E-3</v>
      </c>
    </row>
    <row r="91" spans="1:11" x14ac:dyDescent="0.2">
      <c r="A91" s="141" t="s">
        <v>1435</v>
      </c>
      <c r="B91" s="143" t="s">
        <v>218</v>
      </c>
      <c r="C91" s="141" t="s">
        <v>68</v>
      </c>
      <c r="D91" s="143" t="s">
        <v>707</v>
      </c>
      <c r="E91" s="141" t="s">
        <v>839</v>
      </c>
      <c r="F91" s="221" t="s">
        <v>840</v>
      </c>
      <c r="G91" s="144">
        <v>9</v>
      </c>
      <c r="H91" s="145">
        <v>27</v>
      </c>
      <c r="I91" s="146">
        <f t="shared" si="9"/>
        <v>7.7546698190835545E-4</v>
      </c>
      <c r="J91" s="146">
        <f t="shared" si="10"/>
        <v>8.1915661455313649E-4</v>
      </c>
      <c r="K91" s="146">
        <f t="shared" si="11"/>
        <v>2.1462639109697933E-3</v>
      </c>
    </row>
    <row r="92" spans="1:11" x14ac:dyDescent="0.2">
      <c r="A92" s="141" t="s">
        <v>1435</v>
      </c>
      <c r="B92" s="143" t="s">
        <v>218</v>
      </c>
      <c r="C92" s="141" t="s">
        <v>68</v>
      </c>
      <c r="D92" s="143" t="s">
        <v>707</v>
      </c>
      <c r="E92" s="141" t="s">
        <v>841</v>
      </c>
      <c r="F92" s="221" t="s">
        <v>842</v>
      </c>
      <c r="G92" s="144">
        <v>13</v>
      </c>
      <c r="H92" s="145">
        <v>39</v>
      </c>
      <c r="I92" s="146">
        <f t="shared" si="9"/>
        <v>1.1201189738676244E-3</v>
      </c>
      <c r="J92" s="146">
        <f t="shared" si="10"/>
        <v>1.1832262210211971E-3</v>
      </c>
      <c r="K92" s="146">
        <f t="shared" si="11"/>
        <v>3.1001589825119238E-3</v>
      </c>
    </row>
    <row r="93" spans="1:11" x14ac:dyDescent="0.2">
      <c r="A93" s="141" t="s">
        <v>1435</v>
      </c>
      <c r="B93" s="143" t="s">
        <v>218</v>
      </c>
      <c r="C93" s="141" t="s">
        <v>68</v>
      </c>
      <c r="D93" s="143" t="s">
        <v>707</v>
      </c>
      <c r="E93" s="141" t="s">
        <v>1512</v>
      </c>
      <c r="F93" s="221" t="s">
        <v>1513</v>
      </c>
      <c r="G93" s="144">
        <v>10</v>
      </c>
      <c r="H93" s="145">
        <v>30</v>
      </c>
      <c r="I93" s="146">
        <f t="shared" si="9"/>
        <v>8.6162997989817263E-4</v>
      </c>
      <c r="J93" s="146">
        <f t="shared" si="10"/>
        <v>9.1017401617015173E-4</v>
      </c>
      <c r="K93" s="146">
        <f t="shared" si="11"/>
        <v>2.3847376788553257E-3</v>
      </c>
    </row>
    <row r="94" spans="1:11" x14ac:dyDescent="0.2">
      <c r="A94" s="141" t="s">
        <v>1435</v>
      </c>
      <c r="B94" s="143" t="s">
        <v>218</v>
      </c>
      <c r="C94" s="141" t="s">
        <v>68</v>
      </c>
      <c r="D94" s="143" t="s">
        <v>707</v>
      </c>
      <c r="E94" s="141" t="s">
        <v>843</v>
      </c>
      <c r="F94" s="221" t="s">
        <v>844</v>
      </c>
      <c r="G94" s="144">
        <v>1</v>
      </c>
      <c r="H94" s="145">
        <v>1</v>
      </c>
      <c r="I94" s="146">
        <f t="shared" si="9"/>
        <v>2.8720999329939088E-5</v>
      </c>
      <c r="J94" s="146">
        <f t="shared" si="10"/>
        <v>3.0339133872338388E-5</v>
      </c>
      <c r="K94" s="146">
        <f t="shared" si="11"/>
        <v>7.9491255961844197E-5</v>
      </c>
    </row>
    <row r="95" spans="1:11" hidden="1" x14ac:dyDescent="0.2">
      <c r="A95" s="141"/>
      <c r="B95" s="143"/>
      <c r="C95" s="141"/>
      <c r="D95" s="143"/>
      <c r="E95" s="141"/>
      <c r="F95" s="221"/>
      <c r="G95" s="144"/>
      <c r="H95" s="145"/>
      <c r="I95" s="146"/>
      <c r="J95" s="146"/>
      <c r="K95" s="146"/>
    </row>
    <row r="96" spans="1:11" x14ac:dyDescent="0.2">
      <c r="A96" s="157"/>
      <c r="B96" s="275"/>
      <c r="C96" s="157"/>
      <c r="D96" s="715" t="s">
        <v>1469</v>
      </c>
      <c r="E96" s="715"/>
      <c r="F96" s="715"/>
      <c r="G96" s="163">
        <f>SUM(G84:G95)</f>
        <v>187</v>
      </c>
      <c r="H96" s="163">
        <f>SUM(H84:H95)</f>
        <v>559</v>
      </c>
      <c r="I96" s="171">
        <f>H96/$H$633</f>
        <v>1.605503862543595E-2</v>
      </c>
      <c r="J96" s="158">
        <f>H96/$H$634</f>
        <v>1.6959575834637159E-2</v>
      </c>
      <c r="K96" s="158">
        <f>H96/$H$247</f>
        <v>4.4435612082670904E-2</v>
      </c>
    </row>
    <row r="97" spans="1:11" ht="24" x14ac:dyDescent="0.2">
      <c r="A97" s="141" t="s">
        <v>1435</v>
      </c>
      <c r="B97" s="143" t="s">
        <v>218</v>
      </c>
      <c r="C97" s="141" t="s">
        <v>68</v>
      </c>
      <c r="D97" s="143" t="s">
        <v>708</v>
      </c>
      <c r="E97" s="141" t="s">
        <v>845</v>
      </c>
      <c r="F97" s="221" t="s">
        <v>846</v>
      </c>
      <c r="G97" s="144">
        <v>5</v>
      </c>
      <c r="H97" s="145">
        <v>20</v>
      </c>
      <c r="I97" s="146">
        <f>H97/$H$633</f>
        <v>5.7441998659878179E-4</v>
      </c>
      <c r="J97" s="146">
        <f>H97/$H$634</f>
        <v>6.0678267744676778E-4</v>
      </c>
      <c r="K97" s="146">
        <f>H97/$H$247</f>
        <v>1.589825119236884E-3</v>
      </c>
    </row>
    <row r="98" spans="1:11" x14ac:dyDescent="0.2">
      <c r="A98" s="157"/>
      <c r="B98" s="275"/>
      <c r="C98" s="157"/>
      <c r="D98" s="715" t="s">
        <v>1470</v>
      </c>
      <c r="E98" s="715"/>
      <c r="F98" s="715"/>
      <c r="G98" s="163">
        <f>SUM(G97:G97)</f>
        <v>5</v>
      </c>
      <c r="H98" s="163">
        <f>SUM(H97:H97)</f>
        <v>20</v>
      </c>
      <c r="I98" s="171">
        <f>H98/$H$633</f>
        <v>5.7441998659878179E-4</v>
      </c>
      <c r="J98" s="158">
        <f>H98/$H$634</f>
        <v>6.0678267744676778E-4</v>
      </c>
      <c r="K98" s="158">
        <f>H98/$H$247</f>
        <v>1.589825119236884E-3</v>
      </c>
    </row>
    <row r="99" spans="1:11" hidden="1" x14ac:dyDescent="0.2">
      <c r="A99" s="141"/>
      <c r="B99" s="143"/>
      <c r="C99" s="141"/>
      <c r="D99" s="143"/>
      <c r="E99" s="141"/>
      <c r="F99" s="221"/>
      <c r="G99" s="144"/>
      <c r="H99" s="145"/>
      <c r="I99" s="146"/>
      <c r="J99" s="146"/>
      <c r="K99" s="146"/>
    </row>
    <row r="100" spans="1:11" hidden="1" x14ac:dyDescent="0.2">
      <c r="A100" s="157"/>
      <c r="B100" s="275"/>
      <c r="C100" s="157"/>
      <c r="D100" s="715"/>
      <c r="E100" s="715"/>
      <c r="F100" s="715"/>
      <c r="G100" s="163"/>
      <c r="H100" s="163"/>
      <c r="I100" s="171"/>
      <c r="J100" s="158"/>
      <c r="K100" s="158"/>
    </row>
    <row r="101" spans="1:11" x14ac:dyDescent="0.2">
      <c r="A101" s="141" t="s">
        <v>1435</v>
      </c>
      <c r="B101" s="143" t="s">
        <v>218</v>
      </c>
      <c r="C101" s="141" t="s">
        <v>68</v>
      </c>
      <c r="D101" s="143" t="s">
        <v>709</v>
      </c>
      <c r="E101" s="141" t="s">
        <v>847</v>
      </c>
      <c r="F101" s="221" t="s">
        <v>527</v>
      </c>
      <c r="G101" s="144">
        <v>65</v>
      </c>
      <c r="H101" s="145">
        <v>260</v>
      </c>
      <c r="I101" s="146">
        <f>H101/$H$633</f>
        <v>7.4674598257841633E-3</v>
      </c>
      <c r="J101" s="146">
        <f>H101/$H$634</f>
        <v>7.8881748068079811E-3</v>
      </c>
      <c r="K101" s="146">
        <f>H101/$H$247</f>
        <v>2.066772655007949E-2</v>
      </c>
    </row>
    <row r="102" spans="1:11" x14ac:dyDescent="0.2">
      <c r="A102" s="141" t="s">
        <v>1435</v>
      </c>
      <c r="B102" s="143" t="s">
        <v>218</v>
      </c>
      <c r="C102" s="141" t="s">
        <v>68</v>
      </c>
      <c r="D102" s="143" t="s">
        <v>709</v>
      </c>
      <c r="E102" s="141" t="s">
        <v>848</v>
      </c>
      <c r="F102" s="221" t="s">
        <v>528</v>
      </c>
      <c r="G102" s="144">
        <v>6</v>
      </c>
      <c r="H102" s="145">
        <v>24</v>
      </c>
      <c r="I102" s="146">
        <f>H102/$H$633</f>
        <v>6.8930398391853817E-4</v>
      </c>
      <c r="J102" s="146">
        <f>H102/$H$634</f>
        <v>7.2813921293612136E-4</v>
      </c>
      <c r="K102" s="146">
        <f>H102/$H$247</f>
        <v>1.9077901430842607E-3</v>
      </c>
    </row>
    <row r="103" spans="1:11" x14ac:dyDescent="0.2">
      <c r="A103" s="141" t="s">
        <v>1435</v>
      </c>
      <c r="B103" s="143" t="s">
        <v>218</v>
      </c>
      <c r="C103" s="141" t="s">
        <v>68</v>
      </c>
      <c r="D103" s="143" t="s">
        <v>709</v>
      </c>
      <c r="E103" s="141" t="s">
        <v>849</v>
      </c>
      <c r="F103" s="221" t="s">
        <v>850</v>
      </c>
      <c r="G103" s="144">
        <v>16</v>
      </c>
      <c r="H103" s="145">
        <v>48</v>
      </c>
      <c r="I103" s="146">
        <f>H103/$H$633</f>
        <v>1.3786079678370763E-3</v>
      </c>
      <c r="J103" s="146">
        <f>H103/$H$634</f>
        <v>1.4562784258722427E-3</v>
      </c>
      <c r="K103" s="146">
        <f>H103/$H$247</f>
        <v>3.8155802861685214E-3</v>
      </c>
    </row>
    <row r="104" spans="1:11" x14ac:dyDescent="0.2">
      <c r="A104" s="141" t="s">
        <v>1435</v>
      </c>
      <c r="B104" s="143" t="s">
        <v>218</v>
      </c>
      <c r="C104" s="141" t="s">
        <v>68</v>
      </c>
      <c r="D104" s="143" t="s">
        <v>709</v>
      </c>
      <c r="E104" s="141" t="s">
        <v>851</v>
      </c>
      <c r="F104" s="221" t="s">
        <v>852</v>
      </c>
      <c r="G104" s="144">
        <v>9</v>
      </c>
      <c r="H104" s="145">
        <v>36</v>
      </c>
      <c r="I104" s="146">
        <f t="shared" ref="I104:I105" si="12">H104/$H$633</f>
        <v>1.0339559758778072E-3</v>
      </c>
      <c r="J104" s="146">
        <f t="shared" ref="J104:J105" si="13">H104/$H$634</f>
        <v>1.092208819404182E-3</v>
      </c>
      <c r="K104" s="146">
        <f t="shared" ref="K104:K105" si="14">H104/$H$247</f>
        <v>2.861685214626391E-3</v>
      </c>
    </row>
    <row r="105" spans="1:11" x14ac:dyDescent="0.2">
      <c r="A105" s="141" t="s">
        <v>1435</v>
      </c>
      <c r="B105" s="143" t="s">
        <v>218</v>
      </c>
      <c r="C105" s="141" t="s">
        <v>68</v>
      </c>
      <c r="D105" s="143" t="s">
        <v>709</v>
      </c>
      <c r="E105" s="141" t="s">
        <v>1514</v>
      </c>
      <c r="F105" s="221" t="s">
        <v>1515</v>
      </c>
      <c r="G105" s="144">
        <v>1</v>
      </c>
      <c r="H105" s="145">
        <v>3</v>
      </c>
      <c r="I105" s="146">
        <f t="shared" si="12"/>
        <v>8.6162997989817271E-5</v>
      </c>
      <c r="J105" s="146">
        <f t="shared" si="13"/>
        <v>9.101740161701517E-5</v>
      </c>
      <c r="K105" s="146">
        <f t="shared" si="14"/>
        <v>2.3847376788553259E-4</v>
      </c>
    </row>
    <row r="106" spans="1:11" x14ac:dyDescent="0.2">
      <c r="A106" s="141" t="s">
        <v>1435</v>
      </c>
      <c r="B106" s="143" t="s">
        <v>218</v>
      </c>
      <c r="C106" s="141" t="s">
        <v>68</v>
      </c>
      <c r="D106" s="143" t="s">
        <v>709</v>
      </c>
      <c r="E106" s="141" t="s">
        <v>1516</v>
      </c>
      <c r="F106" s="221" t="s">
        <v>1517</v>
      </c>
      <c r="G106" s="144">
        <v>7</v>
      </c>
      <c r="H106" s="145">
        <v>28</v>
      </c>
      <c r="I106" s="146">
        <f t="shared" ref="I106:I123" si="15">H106/$H$633</f>
        <v>8.0418798123829444E-4</v>
      </c>
      <c r="J106" s="146">
        <f t="shared" ref="J106:J123" si="16">H106/$H$634</f>
        <v>8.4949574842547494E-4</v>
      </c>
      <c r="K106" s="146">
        <f t="shared" ref="K106:K123" si="17">H106/$H$247</f>
        <v>2.2257551669316376E-3</v>
      </c>
    </row>
    <row r="107" spans="1:11" x14ac:dyDescent="0.2">
      <c r="A107" s="295" t="s">
        <v>1435</v>
      </c>
      <c r="B107" s="294" t="s">
        <v>218</v>
      </c>
      <c r="C107" s="295" t="s">
        <v>68</v>
      </c>
      <c r="D107" s="294" t="s">
        <v>709</v>
      </c>
      <c r="E107" s="295" t="s">
        <v>853</v>
      </c>
      <c r="F107" s="296" t="s">
        <v>854</v>
      </c>
      <c r="G107" s="297">
        <v>10</v>
      </c>
      <c r="H107" s="298">
        <v>30</v>
      </c>
      <c r="I107" s="299">
        <f t="shared" si="15"/>
        <v>8.6162997989817263E-4</v>
      </c>
      <c r="J107" s="299">
        <f t="shared" si="16"/>
        <v>9.1017401617015173E-4</v>
      </c>
      <c r="K107" s="299">
        <f t="shared" si="17"/>
        <v>2.3847376788553257E-3</v>
      </c>
    </row>
    <row r="108" spans="1:11" x14ac:dyDescent="0.2">
      <c r="A108" s="542"/>
      <c r="B108" s="543"/>
      <c r="C108" s="542"/>
      <c r="D108" s="716" t="s">
        <v>1471</v>
      </c>
      <c r="E108" s="716"/>
      <c r="F108" s="716"/>
      <c r="G108" s="544">
        <f>SUM(G101:G107)</f>
        <v>114</v>
      </c>
      <c r="H108" s="544">
        <f>SUM(H101:H107)</f>
        <v>429</v>
      </c>
      <c r="I108" s="541">
        <f t="shared" si="15"/>
        <v>1.2321308712543869E-2</v>
      </c>
      <c r="J108" s="545">
        <f t="shared" si="16"/>
        <v>1.3015488431233169E-2</v>
      </c>
      <c r="K108" s="545">
        <f t="shared" si="17"/>
        <v>3.4101748807631158E-2</v>
      </c>
    </row>
    <row r="109" spans="1:11" hidden="1" x14ac:dyDescent="0.2">
      <c r="A109" s="334"/>
      <c r="B109" s="326" t="s">
        <v>218</v>
      </c>
      <c r="C109" s="334" t="s">
        <v>68</v>
      </c>
      <c r="D109" s="326"/>
      <c r="E109" s="334"/>
      <c r="F109" s="335"/>
      <c r="G109" s="336"/>
      <c r="H109" s="337"/>
      <c r="I109" s="170">
        <f t="shared" si="15"/>
        <v>0</v>
      </c>
      <c r="J109" s="170">
        <f t="shared" si="16"/>
        <v>0</v>
      </c>
      <c r="K109" s="170">
        <f t="shared" si="17"/>
        <v>0</v>
      </c>
    </row>
    <row r="110" spans="1:11" hidden="1" x14ac:dyDescent="0.2">
      <c r="A110" s="141"/>
      <c r="B110" s="143" t="s">
        <v>218</v>
      </c>
      <c r="C110" s="141" t="s">
        <v>68</v>
      </c>
      <c r="D110" s="143"/>
      <c r="E110" s="141"/>
      <c r="F110" s="221"/>
      <c r="G110" s="144"/>
      <c r="H110" s="145"/>
      <c r="I110" s="146">
        <f t="shared" si="15"/>
        <v>0</v>
      </c>
      <c r="J110" s="146">
        <f t="shared" si="16"/>
        <v>0</v>
      </c>
      <c r="K110" s="146">
        <f t="shared" si="17"/>
        <v>0</v>
      </c>
    </row>
    <row r="111" spans="1:11" hidden="1" x14ac:dyDescent="0.2">
      <c r="A111" s="157"/>
      <c r="B111" s="275"/>
      <c r="C111" s="157"/>
      <c r="D111" s="717" t="s">
        <v>316</v>
      </c>
      <c r="E111" s="717"/>
      <c r="F111" s="717"/>
      <c r="G111" s="163">
        <f>SUM(G109:G110)</f>
        <v>0</v>
      </c>
      <c r="H111" s="163">
        <f>SUM(H109:H110)</f>
        <v>0</v>
      </c>
      <c r="I111" s="171">
        <f t="shared" si="15"/>
        <v>0</v>
      </c>
      <c r="J111" s="158">
        <f t="shared" si="16"/>
        <v>0</v>
      </c>
      <c r="K111" s="158">
        <f t="shared" si="17"/>
        <v>0</v>
      </c>
    </row>
    <row r="112" spans="1:11" x14ac:dyDescent="0.2">
      <c r="A112" s="141" t="s">
        <v>1435</v>
      </c>
      <c r="B112" s="143" t="s">
        <v>218</v>
      </c>
      <c r="C112" s="141" t="s">
        <v>68</v>
      </c>
      <c r="D112" s="143" t="s">
        <v>1459</v>
      </c>
      <c r="E112" s="141" t="s">
        <v>1655</v>
      </c>
      <c r="F112" s="221" t="s">
        <v>1656</v>
      </c>
      <c r="G112" s="144">
        <v>10</v>
      </c>
      <c r="H112" s="145">
        <v>40</v>
      </c>
      <c r="I112" s="146">
        <f t="shared" si="15"/>
        <v>1.1488399731975636E-3</v>
      </c>
      <c r="J112" s="146">
        <f t="shared" si="16"/>
        <v>1.2135653548935356E-3</v>
      </c>
      <c r="K112" s="146">
        <f t="shared" si="17"/>
        <v>3.1796502384737681E-3</v>
      </c>
    </row>
    <row r="113" spans="1:11" x14ac:dyDescent="0.2">
      <c r="A113" s="157"/>
      <c r="B113" s="275"/>
      <c r="C113" s="157"/>
      <c r="D113" s="715" t="s">
        <v>1658</v>
      </c>
      <c r="E113" s="715"/>
      <c r="F113" s="715"/>
      <c r="G113" s="163">
        <f>SUM(G112:G112)</f>
        <v>10</v>
      </c>
      <c r="H113" s="163">
        <f>SUM(H112:H112)</f>
        <v>40</v>
      </c>
      <c r="I113" s="171">
        <f t="shared" si="15"/>
        <v>1.1488399731975636E-3</v>
      </c>
      <c r="J113" s="158">
        <f t="shared" si="16"/>
        <v>1.2135653548935356E-3</v>
      </c>
      <c r="K113" s="158">
        <f t="shared" si="17"/>
        <v>3.1796502384737681E-3</v>
      </c>
    </row>
    <row r="114" spans="1:11" x14ac:dyDescent="0.2">
      <c r="A114" s="141" t="s">
        <v>1435</v>
      </c>
      <c r="B114" s="143" t="s">
        <v>218</v>
      </c>
      <c r="C114" s="141" t="s">
        <v>68</v>
      </c>
      <c r="D114" s="143" t="s">
        <v>710</v>
      </c>
      <c r="E114" s="141" t="s">
        <v>855</v>
      </c>
      <c r="F114" s="221" t="s">
        <v>529</v>
      </c>
      <c r="G114" s="144">
        <v>46</v>
      </c>
      <c r="H114" s="145">
        <v>184</v>
      </c>
      <c r="I114" s="146">
        <f t="shared" si="15"/>
        <v>5.2846638767087926E-3</v>
      </c>
      <c r="J114" s="146">
        <f t="shared" si="16"/>
        <v>5.5824006325102633E-3</v>
      </c>
      <c r="K114" s="146">
        <f t="shared" si="17"/>
        <v>1.4626391096979332E-2</v>
      </c>
    </row>
    <row r="115" spans="1:11" x14ac:dyDescent="0.2">
      <c r="A115" s="141" t="s">
        <v>1435</v>
      </c>
      <c r="B115" s="143" t="s">
        <v>218</v>
      </c>
      <c r="C115" s="141" t="s">
        <v>68</v>
      </c>
      <c r="D115" s="143" t="s">
        <v>710</v>
      </c>
      <c r="E115" s="141" t="s">
        <v>856</v>
      </c>
      <c r="F115" s="221" t="s">
        <v>530</v>
      </c>
      <c r="G115" s="144">
        <v>10</v>
      </c>
      <c r="H115" s="145">
        <v>40</v>
      </c>
      <c r="I115" s="146">
        <f t="shared" si="15"/>
        <v>1.1488399731975636E-3</v>
      </c>
      <c r="J115" s="146">
        <f t="shared" si="16"/>
        <v>1.2135653548935356E-3</v>
      </c>
      <c r="K115" s="146">
        <f t="shared" si="17"/>
        <v>3.1796502384737681E-3</v>
      </c>
    </row>
    <row r="116" spans="1:11" x14ac:dyDescent="0.2">
      <c r="A116" s="141" t="s">
        <v>1435</v>
      </c>
      <c r="B116" s="143" t="s">
        <v>218</v>
      </c>
      <c r="C116" s="141" t="s">
        <v>68</v>
      </c>
      <c r="D116" s="143" t="s">
        <v>710</v>
      </c>
      <c r="E116" s="141" t="s">
        <v>857</v>
      </c>
      <c r="F116" s="221" t="s">
        <v>858</v>
      </c>
      <c r="G116" s="144">
        <v>7</v>
      </c>
      <c r="H116" s="145">
        <v>28</v>
      </c>
      <c r="I116" s="146">
        <f t="shared" si="15"/>
        <v>8.0418798123829444E-4</v>
      </c>
      <c r="J116" s="146">
        <f t="shared" si="16"/>
        <v>8.4949574842547494E-4</v>
      </c>
      <c r="K116" s="146">
        <f t="shared" si="17"/>
        <v>2.2257551669316376E-3</v>
      </c>
    </row>
    <row r="117" spans="1:11" x14ac:dyDescent="0.2">
      <c r="A117" s="141" t="s">
        <v>1435</v>
      </c>
      <c r="B117" s="143" t="s">
        <v>218</v>
      </c>
      <c r="C117" s="141" t="s">
        <v>68</v>
      </c>
      <c r="D117" s="143" t="s">
        <v>710</v>
      </c>
      <c r="E117" s="141" t="s">
        <v>859</v>
      </c>
      <c r="F117" s="221" t="s">
        <v>860</v>
      </c>
      <c r="G117" s="144">
        <v>12</v>
      </c>
      <c r="H117" s="145">
        <v>36</v>
      </c>
      <c r="I117" s="146">
        <f t="shared" si="15"/>
        <v>1.0339559758778072E-3</v>
      </c>
      <c r="J117" s="146">
        <f t="shared" si="16"/>
        <v>1.092208819404182E-3</v>
      </c>
      <c r="K117" s="146">
        <f t="shared" si="17"/>
        <v>2.861685214626391E-3</v>
      </c>
    </row>
    <row r="118" spans="1:11" x14ac:dyDescent="0.2">
      <c r="A118" s="141" t="s">
        <v>1435</v>
      </c>
      <c r="B118" s="143" t="s">
        <v>218</v>
      </c>
      <c r="C118" s="141" t="s">
        <v>68</v>
      </c>
      <c r="D118" s="143" t="s">
        <v>710</v>
      </c>
      <c r="E118" s="141" t="s">
        <v>861</v>
      </c>
      <c r="F118" s="221" t="s">
        <v>862</v>
      </c>
      <c r="G118" s="144">
        <v>4</v>
      </c>
      <c r="H118" s="145">
        <v>16</v>
      </c>
      <c r="I118" s="146">
        <f t="shared" si="15"/>
        <v>4.5953598927902541E-4</v>
      </c>
      <c r="J118" s="146">
        <f t="shared" si="16"/>
        <v>4.854261419574142E-4</v>
      </c>
      <c r="K118" s="146">
        <f t="shared" si="17"/>
        <v>1.2718600953895071E-3</v>
      </c>
    </row>
    <row r="119" spans="1:11" ht="14.25" customHeight="1" x14ac:dyDescent="0.2">
      <c r="A119" s="157"/>
      <c r="B119" s="275"/>
      <c r="C119" s="157"/>
      <c r="D119" s="715" t="s">
        <v>1472</v>
      </c>
      <c r="E119" s="715"/>
      <c r="F119" s="715"/>
      <c r="G119" s="163">
        <f>SUM(G114:G118)</f>
        <v>79</v>
      </c>
      <c r="H119" s="163">
        <f>SUM(H114:H118)</f>
        <v>304</v>
      </c>
      <c r="I119" s="171">
        <f t="shared" si="15"/>
        <v>8.7311837963014831E-3</v>
      </c>
      <c r="J119" s="158">
        <f t="shared" si="16"/>
        <v>9.2230966971908711E-3</v>
      </c>
      <c r="K119" s="158">
        <f t="shared" si="17"/>
        <v>2.4165341812400636E-2</v>
      </c>
    </row>
    <row r="120" spans="1:11" hidden="1" x14ac:dyDescent="0.2">
      <c r="A120" s="141"/>
      <c r="B120" s="143" t="s">
        <v>218</v>
      </c>
      <c r="C120" s="141" t="s">
        <v>68</v>
      </c>
      <c r="D120" s="143"/>
      <c r="E120" s="141"/>
      <c r="F120" s="221"/>
      <c r="G120" s="144"/>
      <c r="H120" s="145"/>
      <c r="I120" s="146">
        <f t="shared" si="15"/>
        <v>0</v>
      </c>
      <c r="J120" s="146">
        <f t="shared" si="16"/>
        <v>0</v>
      </c>
      <c r="K120" s="146">
        <f t="shared" si="17"/>
        <v>0</v>
      </c>
    </row>
    <row r="121" spans="1:11" hidden="1" x14ac:dyDescent="0.2">
      <c r="A121" s="141"/>
      <c r="B121" s="143" t="s">
        <v>218</v>
      </c>
      <c r="C121" s="141" t="s">
        <v>68</v>
      </c>
      <c r="D121" s="143"/>
      <c r="E121" s="141"/>
      <c r="F121" s="221"/>
      <c r="G121" s="144"/>
      <c r="H121" s="145"/>
      <c r="I121" s="146">
        <f t="shared" si="15"/>
        <v>0</v>
      </c>
      <c r="J121" s="146">
        <f t="shared" si="16"/>
        <v>0</v>
      </c>
      <c r="K121" s="146">
        <f t="shared" si="17"/>
        <v>0</v>
      </c>
    </row>
    <row r="122" spans="1:11" hidden="1" x14ac:dyDescent="0.2">
      <c r="A122" s="157"/>
      <c r="B122" s="275"/>
      <c r="C122" s="157"/>
      <c r="D122" s="713" t="s">
        <v>337</v>
      </c>
      <c r="E122" s="713"/>
      <c r="F122" s="713"/>
      <c r="G122" s="163">
        <f>SUM(G120:G121)</f>
        <v>0</v>
      </c>
      <c r="H122" s="163">
        <f>SUM(H120:H121)</f>
        <v>0</v>
      </c>
      <c r="I122" s="171">
        <f t="shared" si="15"/>
        <v>0</v>
      </c>
      <c r="J122" s="158">
        <f t="shared" si="16"/>
        <v>0</v>
      </c>
      <c r="K122" s="158">
        <f t="shared" si="17"/>
        <v>0</v>
      </c>
    </row>
    <row r="123" spans="1:11" x14ac:dyDescent="0.2">
      <c r="A123" s="141" t="s">
        <v>1435</v>
      </c>
      <c r="B123" s="143" t="s">
        <v>218</v>
      </c>
      <c r="C123" s="141" t="s">
        <v>68</v>
      </c>
      <c r="D123" s="143" t="s">
        <v>711</v>
      </c>
      <c r="E123" s="141" t="s">
        <v>863</v>
      </c>
      <c r="F123" s="221" t="s">
        <v>514</v>
      </c>
      <c r="G123" s="144">
        <v>49</v>
      </c>
      <c r="H123" s="145">
        <v>196</v>
      </c>
      <c r="I123" s="146">
        <f t="shared" si="15"/>
        <v>5.6293158686680613E-3</v>
      </c>
      <c r="J123" s="146">
        <f t="shared" si="16"/>
        <v>5.9464702389783247E-3</v>
      </c>
      <c r="K123" s="146">
        <f t="shared" si="17"/>
        <v>1.5580286168521463E-2</v>
      </c>
    </row>
    <row r="124" spans="1:11" hidden="1" x14ac:dyDescent="0.2">
      <c r="A124" s="141"/>
      <c r="B124" s="143"/>
      <c r="C124" s="141"/>
      <c r="D124" s="143"/>
      <c r="E124" s="141"/>
      <c r="F124" s="221"/>
      <c r="G124" s="144"/>
      <c r="H124" s="145"/>
      <c r="I124" s="146"/>
      <c r="J124" s="146"/>
      <c r="K124" s="146"/>
    </row>
    <row r="125" spans="1:11" x14ac:dyDescent="0.2">
      <c r="A125" s="157"/>
      <c r="B125" s="275"/>
      <c r="C125" s="157"/>
      <c r="D125" s="715" t="s">
        <v>1473</v>
      </c>
      <c r="E125" s="715"/>
      <c r="F125" s="715"/>
      <c r="G125" s="163">
        <f>SUM(G123:G124)</f>
        <v>49</v>
      </c>
      <c r="H125" s="163">
        <f>SUM(H123:H124)</f>
        <v>196</v>
      </c>
      <c r="I125" s="171">
        <f>H125/$H$633</f>
        <v>5.6293158686680613E-3</v>
      </c>
      <c r="J125" s="158">
        <f>H125/$H$634</f>
        <v>5.9464702389783247E-3</v>
      </c>
      <c r="K125" s="158">
        <f>H125/$H$247</f>
        <v>1.5580286168521463E-2</v>
      </c>
    </row>
    <row r="126" spans="1:11" x14ac:dyDescent="0.2">
      <c r="A126" s="141" t="s">
        <v>1435</v>
      </c>
      <c r="B126" s="143" t="s">
        <v>218</v>
      </c>
      <c r="C126" s="141" t="s">
        <v>68</v>
      </c>
      <c r="D126" s="143" t="s">
        <v>1461</v>
      </c>
      <c r="E126" s="141" t="s">
        <v>1659</v>
      </c>
      <c r="F126" s="221" t="s">
        <v>1660</v>
      </c>
      <c r="G126" s="144">
        <v>21</v>
      </c>
      <c r="H126" s="145">
        <v>84</v>
      </c>
      <c r="I126" s="146">
        <f>H126/$H$633</f>
        <v>2.4125639437148835E-3</v>
      </c>
      <c r="J126" s="146">
        <f>H126/$H$634</f>
        <v>2.5484872452764249E-3</v>
      </c>
      <c r="K126" s="146">
        <f>H126/$H$247</f>
        <v>6.6772655007949124E-3</v>
      </c>
    </row>
    <row r="127" spans="1:11" hidden="1" x14ac:dyDescent="0.2">
      <c r="A127" s="141"/>
      <c r="B127" s="143"/>
      <c r="C127" s="141"/>
      <c r="D127" s="143"/>
      <c r="E127" s="141"/>
      <c r="F127" s="221"/>
      <c r="G127" s="144"/>
      <c r="H127" s="145"/>
      <c r="I127" s="146"/>
      <c r="J127" s="146"/>
      <c r="K127" s="146"/>
    </row>
    <row r="128" spans="1:11" x14ac:dyDescent="0.2">
      <c r="A128" s="157"/>
      <c r="B128" s="275"/>
      <c r="C128" s="157"/>
      <c r="D128" s="715" t="s">
        <v>1657</v>
      </c>
      <c r="E128" s="715"/>
      <c r="F128" s="715"/>
      <c r="G128" s="163">
        <f>SUM(G126:G127)</f>
        <v>21</v>
      </c>
      <c r="H128" s="163">
        <f>SUM(H126:H127)</f>
        <v>84</v>
      </c>
      <c r="I128" s="171">
        <f t="shared" ref="I128:I138" si="18">H128/$H$633</f>
        <v>2.4125639437148835E-3</v>
      </c>
      <c r="J128" s="158">
        <f t="shared" ref="J128:J138" si="19">H128/$H$634</f>
        <v>2.5484872452764249E-3</v>
      </c>
      <c r="K128" s="158">
        <f t="shared" ref="K128:K138" si="20">H128/$H$247</f>
        <v>6.6772655007949124E-3</v>
      </c>
    </row>
    <row r="129" spans="1:11" x14ac:dyDescent="0.2">
      <c r="A129" s="141" t="s">
        <v>1435</v>
      </c>
      <c r="B129" s="143" t="s">
        <v>218</v>
      </c>
      <c r="C129" s="141" t="s">
        <v>68</v>
      </c>
      <c r="D129" s="143" t="s">
        <v>712</v>
      </c>
      <c r="E129" s="141" t="s">
        <v>864</v>
      </c>
      <c r="F129" s="221" t="s">
        <v>531</v>
      </c>
      <c r="G129" s="144">
        <v>86</v>
      </c>
      <c r="H129" s="145">
        <v>344</v>
      </c>
      <c r="I129" s="146">
        <f t="shared" si="18"/>
        <v>9.880023769499046E-3</v>
      </c>
      <c r="J129" s="146">
        <f t="shared" si="19"/>
        <v>1.0436662052084406E-2</v>
      </c>
      <c r="K129" s="146">
        <f t="shared" si="20"/>
        <v>2.7344992050874404E-2</v>
      </c>
    </row>
    <row r="130" spans="1:11" x14ac:dyDescent="0.2">
      <c r="A130" s="141" t="s">
        <v>1435</v>
      </c>
      <c r="B130" s="143" t="s">
        <v>218</v>
      </c>
      <c r="C130" s="141" t="s">
        <v>68</v>
      </c>
      <c r="D130" s="143" t="s">
        <v>712</v>
      </c>
      <c r="E130" s="141" t="s">
        <v>865</v>
      </c>
      <c r="F130" s="221" t="s">
        <v>532</v>
      </c>
      <c r="G130" s="144">
        <v>4</v>
      </c>
      <c r="H130" s="145">
        <v>16</v>
      </c>
      <c r="I130" s="146">
        <f t="shared" si="18"/>
        <v>4.5953598927902541E-4</v>
      </c>
      <c r="J130" s="146">
        <f t="shared" si="19"/>
        <v>4.854261419574142E-4</v>
      </c>
      <c r="K130" s="146">
        <f t="shared" si="20"/>
        <v>1.2718600953895071E-3</v>
      </c>
    </row>
    <row r="131" spans="1:11" x14ac:dyDescent="0.2">
      <c r="A131" s="157"/>
      <c r="B131" s="275"/>
      <c r="C131" s="157"/>
      <c r="D131" s="715" t="s">
        <v>1474</v>
      </c>
      <c r="E131" s="715"/>
      <c r="F131" s="715"/>
      <c r="G131" s="163">
        <f>SUM(G128:G129)</f>
        <v>107</v>
      </c>
      <c r="H131" s="163">
        <f>SUM(H129:H130)</f>
        <v>360</v>
      </c>
      <c r="I131" s="171">
        <f t="shared" si="18"/>
        <v>1.0339559758778072E-2</v>
      </c>
      <c r="J131" s="158">
        <f t="shared" si="19"/>
        <v>1.0922088194041821E-2</v>
      </c>
      <c r="K131" s="158">
        <f t="shared" si="20"/>
        <v>2.8616852146263912E-2</v>
      </c>
    </row>
    <row r="132" spans="1:11" x14ac:dyDescent="0.2">
      <c r="A132" s="141" t="s">
        <v>1435</v>
      </c>
      <c r="B132" s="143" t="s">
        <v>218</v>
      </c>
      <c r="C132" s="141" t="s">
        <v>68</v>
      </c>
      <c r="D132" s="143" t="s">
        <v>713</v>
      </c>
      <c r="E132" s="141" t="s">
        <v>866</v>
      </c>
      <c r="F132" s="221" t="s">
        <v>535</v>
      </c>
      <c r="G132" s="144">
        <v>17</v>
      </c>
      <c r="H132" s="145">
        <v>51</v>
      </c>
      <c r="I132" s="146">
        <f t="shared" si="18"/>
        <v>1.4647709658268935E-3</v>
      </c>
      <c r="J132" s="146">
        <f t="shared" si="19"/>
        <v>1.5472958274892579E-3</v>
      </c>
      <c r="K132" s="146">
        <f t="shared" si="20"/>
        <v>4.0540540540540543E-3</v>
      </c>
    </row>
    <row r="133" spans="1:11" x14ac:dyDescent="0.2">
      <c r="A133" s="141" t="s">
        <v>1435</v>
      </c>
      <c r="B133" s="143" t="s">
        <v>218</v>
      </c>
      <c r="C133" s="141" t="s">
        <v>68</v>
      </c>
      <c r="D133" s="143" t="s">
        <v>713</v>
      </c>
      <c r="E133" s="141" t="s">
        <v>867</v>
      </c>
      <c r="F133" s="221" t="s">
        <v>868</v>
      </c>
      <c r="G133" s="144">
        <v>11</v>
      </c>
      <c r="H133" s="145">
        <v>33</v>
      </c>
      <c r="I133" s="146">
        <f t="shared" si="18"/>
        <v>9.4779297788798991E-4</v>
      </c>
      <c r="J133" s="146">
        <f t="shared" si="19"/>
        <v>1.0011914177871669E-3</v>
      </c>
      <c r="K133" s="146">
        <f t="shared" si="20"/>
        <v>2.6232114467408586E-3</v>
      </c>
    </row>
    <row r="134" spans="1:11" x14ac:dyDescent="0.2">
      <c r="A134" s="141" t="s">
        <v>1435</v>
      </c>
      <c r="B134" s="143" t="s">
        <v>218</v>
      </c>
      <c r="C134" s="141" t="s">
        <v>68</v>
      </c>
      <c r="D134" s="143" t="s">
        <v>713</v>
      </c>
      <c r="E134" s="141" t="s">
        <v>869</v>
      </c>
      <c r="F134" s="221" t="s">
        <v>870</v>
      </c>
      <c r="G134" s="144">
        <v>15</v>
      </c>
      <c r="H134" s="145">
        <v>45</v>
      </c>
      <c r="I134" s="146">
        <f t="shared" si="18"/>
        <v>1.2924449698472589E-3</v>
      </c>
      <c r="J134" s="146">
        <f t="shared" si="19"/>
        <v>1.3652610242552276E-3</v>
      </c>
      <c r="K134" s="146">
        <f t="shared" si="20"/>
        <v>3.577106518282989E-3</v>
      </c>
    </row>
    <row r="135" spans="1:11" x14ac:dyDescent="0.2">
      <c r="A135" s="141" t="s">
        <v>1435</v>
      </c>
      <c r="B135" s="143" t="s">
        <v>218</v>
      </c>
      <c r="C135" s="141" t="s">
        <v>68</v>
      </c>
      <c r="D135" s="143" t="s">
        <v>713</v>
      </c>
      <c r="E135" s="141" t="s">
        <v>871</v>
      </c>
      <c r="F135" s="221" t="s">
        <v>872</v>
      </c>
      <c r="G135" s="144">
        <v>3</v>
      </c>
      <c r="H135" s="145">
        <v>9</v>
      </c>
      <c r="I135" s="146">
        <f t="shared" si="18"/>
        <v>2.584889939694518E-4</v>
      </c>
      <c r="J135" s="146">
        <f t="shared" si="19"/>
        <v>2.730522048510455E-4</v>
      </c>
      <c r="K135" s="146">
        <f t="shared" si="20"/>
        <v>7.1542130365659774E-4</v>
      </c>
    </row>
    <row r="136" spans="1:11" x14ac:dyDescent="0.2">
      <c r="A136" s="141" t="s">
        <v>1435</v>
      </c>
      <c r="B136" s="143" t="s">
        <v>218</v>
      </c>
      <c r="C136" s="141" t="s">
        <v>68</v>
      </c>
      <c r="D136" s="143" t="s">
        <v>713</v>
      </c>
      <c r="E136" s="141" t="s">
        <v>873</v>
      </c>
      <c r="F136" s="221" t="s">
        <v>536</v>
      </c>
      <c r="G136" s="144">
        <v>5</v>
      </c>
      <c r="H136" s="145">
        <v>15</v>
      </c>
      <c r="I136" s="146">
        <f t="shared" si="18"/>
        <v>4.3081498994908631E-4</v>
      </c>
      <c r="J136" s="146">
        <f t="shared" si="19"/>
        <v>4.5508700808507586E-4</v>
      </c>
      <c r="K136" s="146">
        <f t="shared" si="20"/>
        <v>1.1923688394276629E-3</v>
      </c>
    </row>
    <row r="137" spans="1:11" x14ac:dyDescent="0.2">
      <c r="A137" s="141" t="s">
        <v>1435</v>
      </c>
      <c r="B137" s="143" t="s">
        <v>218</v>
      </c>
      <c r="C137" s="141" t="s">
        <v>68</v>
      </c>
      <c r="D137" s="143" t="s">
        <v>713</v>
      </c>
      <c r="E137" s="141" t="s">
        <v>874</v>
      </c>
      <c r="F137" s="221" t="s">
        <v>875</v>
      </c>
      <c r="G137" s="144">
        <v>4</v>
      </c>
      <c r="H137" s="145">
        <v>12</v>
      </c>
      <c r="I137" s="146">
        <f t="shared" si="18"/>
        <v>3.4465199195926908E-4</v>
      </c>
      <c r="J137" s="146">
        <f t="shared" si="19"/>
        <v>3.6406960646806068E-4</v>
      </c>
      <c r="K137" s="146">
        <f t="shared" si="20"/>
        <v>9.5389507154213036E-4</v>
      </c>
    </row>
    <row r="138" spans="1:11" x14ac:dyDescent="0.2">
      <c r="A138" s="141" t="s">
        <v>1435</v>
      </c>
      <c r="B138" s="143" t="s">
        <v>218</v>
      </c>
      <c r="C138" s="141" t="s">
        <v>68</v>
      </c>
      <c r="D138" s="143" t="s">
        <v>713</v>
      </c>
      <c r="E138" s="141" t="s">
        <v>876</v>
      </c>
      <c r="F138" s="221" t="s">
        <v>877</v>
      </c>
      <c r="G138" s="144">
        <v>5</v>
      </c>
      <c r="H138" s="145">
        <v>15</v>
      </c>
      <c r="I138" s="146">
        <f t="shared" si="18"/>
        <v>4.3081498994908631E-4</v>
      </c>
      <c r="J138" s="146">
        <f t="shared" si="19"/>
        <v>4.5508700808507586E-4</v>
      </c>
      <c r="K138" s="146">
        <f t="shared" si="20"/>
        <v>1.1923688394276629E-3</v>
      </c>
    </row>
    <row r="139" spans="1:11" hidden="1" x14ac:dyDescent="0.2">
      <c r="A139" s="295"/>
      <c r="B139" s="294"/>
      <c r="C139" s="295"/>
      <c r="D139" s="294"/>
      <c r="E139" s="295"/>
      <c r="F139" s="296"/>
      <c r="G139" s="297"/>
      <c r="H139" s="298"/>
      <c r="I139" s="299"/>
      <c r="J139" s="299"/>
      <c r="K139" s="299"/>
    </row>
    <row r="140" spans="1:11" x14ac:dyDescent="0.2">
      <c r="A140" s="542"/>
      <c r="B140" s="543"/>
      <c r="C140" s="542"/>
      <c r="D140" s="716" t="s">
        <v>1475</v>
      </c>
      <c r="E140" s="716"/>
      <c r="F140" s="716"/>
      <c r="G140" s="544">
        <f>SUM(G132:G139)</f>
        <v>60</v>
      </c>
      <c r="H140" s="544">
        <f>SUM(H132:H139)</f>
        <v>180</v>
      </c>
      <c r="I140" s="541">
        <f t="shared" ref="I140:I168" si="21">H140/$H$633</f>
        <v>5.1697798793890358E-3</v>
      </c>
      <c r="J140" s="545">
        <f t="shared" ref="J140:J168" si="22">H140/$H$634</f>
        <v>5.4610440970209104E-3</v>
      </c>
      <c r="K140" s="545">
        <f t="shared" ref="K140:K168" si="23">H140/$H$247</f>
        <v>1.4308426073131956E-2</v>
      </c>
    </row>
    <row r="141" spans="1:11" x14ac:dyDescent="0.2">
      <c r="A141" s="583" t="s">
        <v>1435</v>
      </c>
      <c r="B141" s="584" t="s">
        <v>218</v>
      </c>
      <c r="C141" s="583" t="s">
        <v>68</v>
      </c>
      <c r="D141" s="583" t="s">
        <v>714</v>
      </c>
      <c r="E141" s="583" t="s">
        <v>947</v>
      </c>
      <c r="F141" s="583" t="s">
        <v>537</v>
      </c>
      <c r="G141" s="585">
        <v>34</v>
      </c>
      <c r="H141" s="585">
        <v>102</v>
      </c>
      <c r="I141" s="170">
        <f t="shared" si="21"/>
        <v>2.929541931653787E-3</v>
      </c>
      <c r="J141" s="170">
        <f t="shared" si="22"/>
        <v>3.0945916549785157E-3</v>
      </c>
      <c r="K141" s="170">
        <f t="shared" si="23"/>
        <v>8.1081081081081086E-3</v>
      </c>
    </row>
    <row r="142" spans="1:11" x14ac:dyDescent="0.2">
      <c r="A142" s="334" t="s">
        <v>1435</v>
      </c>
      <c r="B142" s="326" t="s">
        <v>218</v>
      </c>
      <c r="C142" s="334" t="s">
        <v>68</v>
      </c>
      <c r="D142" s="326" t="s">
        <v>714</v>
      </c>
      <c r="E142" s="334" t="s">
        <v>1518</v>
      </c>
      <c r="F142" s="335" t="s">
        <v>1519</v>
      </c>
      <c r="G142" s="336">
        <v>13</v>
      </c>
      <c r="H142" s="337">
        <v>39</v>
      </c>
      <c r="I142" s="146">
        <f t="shared" si="21"/>
        <v>1.1201189738676244E-3</v>
      </c>
      <c r="J142" s="146">
        <f t="shared" si="22"/>
        <v>1.1832262210211971E-3</v>
      </c>
      <c r="K142" s="146">
        <f t="shared" si="23"/>
        <v>3.1001589825119238E-3</v>
      </c>
    </row>
    <row r="143" spans="1:11" x14ac:dyDescent="0.2">
      <c r="A143" s="141" t="s">
        <v>1435</v>
      </c>
      <c r="B143" s="143" t="s">
        <v>218</v>
      </c>
      <c r="C143" s="141" t="s">
        <v>68</v>
      </c>
      <c r="D143" s="143" t="s">
        <v>714</v>
      </c>
      <c r="E143" s="141" t="s">
        <v>878</v>
      </c>
      <c r="F143" s="221" t="s">
        <v>538</v>
      </c>
      <c r="G143" s="144">
        <v>4</v>
      </c>
      <c r="H143" s="145">
        <v>4</v>
      </c>
      <c r="I143" s="146">
        <f t="shared" si="21"/>
        <v>1.1488399731975635E-4</v>
      </c>
      <c r="J143" s="146">
        <f t="shared" si="22"/>
        <v>1.2135653548935355E-4</v>
      </c>
      <c r="K143" s="146">
        <f t="shared" si="23"/>
        <v>3.1796502384737679E-4</v>
      </c>
    </row>
    <row r="144" spans="1:11" x14ac:dyDescent="0.2">
      <c r="A144" s="141" t="s">
        <v>1435</v>
      </c>
      <c r="B144" s="143" t="s">
        <v>218</v>
      </c>
      <c r="C144" s="141" t="s">
        <v>68</v>
      </c>
      <c r="D144" s="143" t="s">
        <v>714</v>
      </c>
      <c r="E144" s="141" t="s">
        <v>879</v>
      </c>
      <c r="F144" s="221" t="s">
        <v>539</v>
      </c>
      <c r="G144" s="144">
        <v>8</v>
      </c>
      <c r="H144" s="145">
        <v>8</v>
      </c>
      <c r="I144" s="146">
        <f t="shared" si="21"/>
        <v>2.297679946395127E-4</v>
      </c>
      <c r="J144" s="146">
        <f t="shared" si="22"/>
        <v>2.427130709787071E-4</v>
      </c>
      <c r="K144" s="146">
        <f t="shared" si="23"/>
        <v>6.3593004769475357E-4</v>
      </c>
    </row>
    <row r="145" spans="1:11" x14ac:dyDescent="0.2">
      <c r="A145" s="141" t="s">
        <v>1435</v>
      </c>
      <c r="B145" s="143" t="s">
        <v>218</v>
      </c>
      <c r="C145" s="141" t="s">
        <v>68</v>
      </c>
      <c r="D145" s="143" t="s">
        <v>714</v>
      </c>
      <c r="E145" s="141" t="s">
        <v>880</v>
      </c>
      <c r="F145" s="221" t="s">
        <v>540</v>
      </c>
      <c r="G145" s="144">
        <v>22</v>
      </c>
      <c r="H145" s="145">
        <v>66</v>
      </c>
      <c r="I145" s="146">
        <f t="shared" si="21"/>
        <v>1.8955859557759798E-3</v>
      </c>
      <c r="J145" s="146">
        <f t="shared" si="22"/>
        <v>2.0023828355743337E-3</v>
      </c>
      <c r="K145" s="146">
        <f t="shared" si="23"/>
        <v>5.2464228934817171E-3</v>
      </c>
    </row>
    <row r="146" spans="1:11" x14ac:dyDescent="0.2">
      <c r="A146" s="141" t="s">
        <v>1435</v>
      </c>
      <c r="B146" s="143" t="s">
        <v>218</v>
      </c>
      <c r="C146" s="141" t="s">
        <v>68</v>
      </c>
      <c r="D146" s="143" t="s">
        <v>714</v>
      </c>
      <c r="E146" s="141" t="s">
        <v>881</v>
      </c>
      <c r="F146" s="221" t="s">
        <v>541</v>
      </c>
      <c r="G146" s="144">
        <v>14</v>
      </c>
      <c r="H146" s="145">
        <v>14</v>
      </c>
      <c r="I146" s="146">
        <f t="shared" si="21"/>
        <v>4.0209399061914722E-4</v>
      </c>
      <c r="J146" s="146">
        <f t="shared" si="22"/>
        <v>4.2474787421273747E-4</v>
      </c>
      <c r="K146" s="146">
        <f t="shared" si="23"/>
        <v>1.1128775834658188E-3</v>
      </c>
    </row>
    <row r="147" spans="1:11" x14ac:dyDescent="0.2">
      <c r="A147" s="141" t="s">
        <v>1435</v>
      </c>
      <c r="B147" s="143" t="s">
        <v>218</v>
      </c>
      <c r="C147" s="141" t="s">
        <v>68</v>
      </c>
      <c r="D147" s="143" t="s">
        <v>714</v>
      </c>
      <c r="E147" s="141" t="s">
        <v>882</v>
      </c>
      <c r="F147" s="221" t="s">
        <v>883</v>
      </c>
      <c r="G147" s="144">
        <v>12</v>
      </c>
      <c r="H147" s="145">
        <v>24</v>
      </c>
      <c r="I147" s="146">
        <f t="shared" si="21"/>
        <v>6.8930398391853817E-4</v>
      </c>
      <c r="J147" s="146">
        <f t="shared" si="22"/>
        <v>7.2813921293612136E-4</v>
      </c>
      <c r="K147" s="146">
        <f t="shared" si="23"/>
        <v>1.9077901430842607E-3</v>
      </c>
    </row>
    <row r="148" spans="1:11" x14ac:dyDescent="0.2">
      <c r="A148" s="141" t="s">
        <v>1435</v>
      </c>
      <c r="B148" s="143" t="s">
        <v>218</v>
      </c>
      <c r="C148" s="141" t="s">
        <v>68</v>
      </c>
      <c r="D148" s="143" t="s">
        <v>714</v>
      </c>
      <c r="E148" s="141" t="s">
        <v>884</v>
      </c>
      <c r="F148" s="221" t="s">
        <v>885</v>
      </c>
      <c r="G148" s="144">
        <v>2</v>
      </c>
      <c r="H148" s="145">
        <v>4</v>
      </c>
      <c r="I148" s="146">
        <f t="shared" si="21"/>
        <v>1.1488399731975635E-4</v>
      </c>
      <c r="J148" s="146">
        <f t="shared" si="22"/>
        <v>1.2135653548935355E-4</v>
      </c>
      <c r="K148" s="146">
        <f t="shared" si="23"/>
        <v>3.1796502384737679E-4</v>
      </c>
    </row>
    <row r="149" spans="1:11" x14ac:dyDescent="0.2">
      <c r="A149" s="141" t="s">
        <v>1435</v>
      </c>
      <c r="B149" s="143" t="s">
        <v>218</v>
      </c>
      <c r="C149" s="141" t="s">
        <v>68</v>
      </c>
      <c r="D149" s="143" t="s">
        <v>714</v>
      </c>
      <c r="E149" s="141" t="s">
        <v>886</v>
      </c>
      <c r="F149" s="221" t="s">
        <v>887</v>
      </c>
      <c r="G149" s="144">
        <v>8</v>
      </c>
      <c r="H149" s="145">
        <v>16</v>
      </c>
      <c r="I149" s="146">
        <f t="shared" si="21"/>
        <v>4.5953598927902541E-4</v>
      </c>
      <c r="J149" s="146">
        <f t="shared" si="22"/>
        <v>4.854261419574142E-4</v>
      </c>
      <c r="K149" s="146">
        <f t="shared" si="23"/>
        <v>1.2718600953895071E-3</v>
      </c>
    </row>
    <row r="150" spans="1:11" x14ac:dyDescent="0.2">
      <c r="A150" s="141" t="s">
        <v>1435</v>
      </c>
      <c r="B150" s="143" t="s">
        <v>218</v>
      </c>
      <c r="C150" s="141" t="s">
        <v>68</v>
      </c>
      <c r="D150" s="143" t="s">
        <v>714</v>
      </c>
      <c r="E150" s="141" t="s">
        <v>1520</v>
      </c>
      <c r="F150" s="221" t="s">
        <v>1521</v>
      </c>
      <c r="G150" s="144">
        <v>7</v>
      </c>
      <c r="H150" s="145">
        <v>14</v>
      </c>
      <c r="I150" s="146">
        <f t="shared" si="21"/>
        <v>4.0209399061914722E-4</v>
      </c>
      <c r="J150" s="146">
        <f t="shared" si="22"/>
        <v>4.2474787421273747E-4</v>
      </c>
      <c r="K150" s="146">
        <f t="shared" si="23"/>
        <v>1.1128775834658188E-3</v>
      </c>
    </row>
    <row r="151" spans="1:11" x14ac:dyDescent="0.2">
      <c r="A151" s="141" t="s">
        <v>1435</v>
      </c>
      <c r="B151" s="143" t="s">
        <v>218</v>
      </c>
      <c r="C151" s="141" t="s">
        <v>68</v>
      </c>
      <c r="D151" s="143" t="s">
        <v>714</v>
      </c>
      <c r="E151" s="141" t="s">
        <v>888</v>
      </c>
      <c r="F151" s="221" t="s">
        <v>889</v>
      </c>
      <c r="G151" s="144">
        <v>9</v>
      </c>
      <c r="H151" s="145">
        <v>18</v>
      </c>
      <c r="I151" s="146">
        <f t="shared" si="21"/>
        <v>5.169779879389036E-4</v>
      </c>
      <c r="J151" s="146">
        <f t="shared" si="22"/>
        <v>5.4610440970209099E-4</v>
      </c>
      <c r="K151" s="146">
        <f t="shared" si="23"/>
        <v>1.4308426073131955E-3</v>
      </c>
    </row>
    <row r="152" spans="1:11" x14ac:dyDescent="0.2">
      <c r="A152" s="141" t="s">
        <v>1435</v>
      </c>
      <c r="B152" s="143" t="s">
        <v>218</v>
      </c>
      <c r="C152" s="141" t="s">
        <v>68</v>
      </c>
      <c r="D152" s="143" t="s">
        <v>714</v>
      </c>
      <c r="E152" s="141" t="s">
        <v>890</v>
      </c>
      <c r="F152" s="221" t="s">
        <v>891</v>
      </c>
      <c r="G152" s="144">
        <v>8</v>
      </c>
      <c r="H152" s="145">
        <v>8</v>
      </c>
      <c r="I152" s="146">
        <f t="shared" si="21"/>
        <v>2.297679946395127E-4</v>
      </c>
      <c r="J152" s="146">
        <f t="shared" si="22"/>
        <v>2.427130709787071E-4</v>
      </c>
      <c r="K152" s="146">
        <f t="shared" si="23"/>
        <v>6.3593004769475357E-4</v>
      </c>
    </row>
    <row r="153" spans="1:11" x14ac:dyDescent="0.2">
      <c r="A153" s="141" t="s">
        <v>1435</v>
      </c>
      <c r="B153" s="143" t="s">
        <v>218</v>
      </c>
      <c r="C153" s="141" t="s">
        <v>68</v>
      </c>
      <c r="D153" s="143" t="s">
        <v>714</v>
      </c>
      <c r="E153" s="141" t="s">
        <v>892</v>
      </c>
      <c r="F153" s="221" t="s">
        <v>542</v>
      </c>
      <c r="G153" s="144">
        <v>3</v>
      </c>
      <c r="H153" s="145">
        <v>3</v>
      </c>
      <c r="I153" s="146">
        <f t="shared" si="21"/>
        <v>8.6162997989817271E-5</v>
      </c>
      <c r="J153" s="146">
        <f t="shared" si="22"/>
        <v>9.101740161701517E-5</v>
      </c>
      <c r="K153" s="146">
        <f t="shared" si="23"/>
        <v>2.3847376788553259E-4</v>
      </c>
    </row>
    <row r="154" spans="1:11" x14ac:dyDescent="0.2">
      <c r="A154" s="141" t="s">
        <v>1435</v>
      </c>
      <c r="B154" s="143" t="s">
        <v>218</v>
      </c>
      <c r="C154" s="141" t="s">
        <v>68</v>
      </c>
      <c r="D154" s="143" t="s">
        <v>714</v>
      </c>
      <c r="E154" s="141" t="s">
        <v>1522</v>
      </c>
      <c r="F154" s="221" t="s">
        <v>1523</v>
      </c>
      <c r="G154" s="144">
        <v>4</v>
      </c>
      <c r="H154" s="145">
        <v>12</v>
      </c>
      <c r="I154" s="146">
        <f t="shared" si="21"/>
        <v>3.4465199195926908E-4</v>
      </c>
      <c r="J154" s="146">
        <f t="shared" si="22"/>
        <v>3.6406960646806068E-4</v>
      </c>
      <c r="K154" s="146">
        <f t="shared" si="23"/>
        <v>9.5389507154213036E-4</v>
      </c>
    </row>
    <row r="155" spans="1:11" x14ac:dyDescent="0.2">
      <c r="A155" s="157"/>
      <c r="B155" s="275"/>
      <c r="C155" s="157"/>
      <c r="D155" s="715" t="s">
        <v>1476</v>
      </c>
      <c r="E155" s="715"/>
      <c r="F155" s="715"/>
      <c r="G155" s="163">
        <f>SUM(G141:G154)</f>
        <v>148</v>
      </c>
      <c r="H155" s="163">
        <f>SUM(H141:H154)</f>
        <v>332</v>
      </c>
      <c r="I155" s="171">
        <f t="shared" si="21"/>
        <v>9.5353717775397782E-3</v>
      </c>
      <c r="J155" s="158">
        <f t="shared" si="22"/>
        <v>1.0072592445616346E-2</v>
      </c>
      <c r="K155" s="158">
        <f t="shared" si="23"/>
        <v>2.6391096979332274E-2</v>
      </c>
    </row>
    <row r="156" spans="1:11" x14ac:dyDescent="0.2">
      <c r="A156" s="141" t="s">
        <v>1435</v>
      </c>
      <c r="B156" s="143" t="s">
        <v>218</v>
      </c>
      <c r="C156" s="141" t="s">
        <v>68</v>
      </c>
      <c r="D156" s="143" t="s">
        <v>715</v>
      </c>
      <c r="E156" s="141" t="s">
        <v>893</v>
      </c>
      <c r="F156" s="221" t="s">
        <v>543</v>
      </c>
      <c r="G156" s="144">
        <v>40</v>
      </c>
      <c r="H156" s="145">
        <v>120</v>
      </c>
      <c r="I156" s="146">
        <f t="shared" si="21"/>
        <v>3.4465199195926905E-3</v>
      </c>
      <c r="J156" s="146">
        <f t="shared" si="22"/>
        <v>3.6406960646806069E-3</v>
      </c>
      <c r="K156" s="146">
        <f t="shared" si="23"/>
        <v>9.538950715421303E-3</v>
      </c>
    </row>
    <row r="157" spans="1:11" x14ac:dyDescent="0.2">
      <c r="A157" s="141" t="s">
        <v>1435</v>
      </c>
      <c r="B157" s="143" t="s">
        <v>218</v>
      </c>
      <c r="C157" s="141" t="s">
        <v>68</v>
      </c>
      <c r="D157" s="143" t="s">
        <v>715</v>
      </c>
      <c r="E157" s="141" t="s">
        <v>894</v>
      </c>
      <c r="F157" s="221" t="s">
        <v>544</v>
      </c>
      <c r="G157" s="144">
        <v>12</v>
      </c>
      <c r="H157" s="145">
        <v>36</v>
      </c>
      <c r="I157" s="146">
        <f t="shared" si="21"/>
        <v>1.0339559758778072E-3</v>
      </c>
      <c r="J157" s="146">
        <f t="shared" si="22"/>
        <v>1.092208819404182E-3</v>
      </c>
      <c r="K157" s="146">
        <f t="shared" si="23"/>
        <v>2.861685214626391E-3</v>
      </c>
    </row>
    <row r="158" spans="1:11" ht="24" x14ac:dyDescent="0.2">
      <c r="A158" s="141" t="s">
        <v>1435</v>
      </c>
      <c r="B158" s="143" t="s">
        <v>218</v>
      </c>
      <c r="C158" s="141" t="s">
        <v>68</v>
      </c>
      <c r="D158" s="143" t="s">
        <v>715</v>
      </c>
      <c r="E158" s="141" t="s">
        <v>895</v>
      </c>
      <c r="F158" s="221" t="s">
        <v>896</v>
      </c>
      <c r="G158" s="144">
        <v>12</v>
      </c>
      <c r="H158" s="145">
        <v>36</v>
      </c>
      <c r="I158" s="146">
        <f t="shared" si="21"/>
        <v>1.0339559758778072E-3</v>
      </c>
      <c r="J158" s="146">
        <f t="shared" si="22"/>
        <v>1.092208819404182E-3</v>
      </c>
      <c r="K158" s="146">
        <f t="shared" si="23"/>
        <v>2.861685214626391E-3</v>
      </c>
    </row>
    <row r="159" spans="1:11" x14ac:dyDescent="0.2">
      <c r="A159" s="141" t="s">
        <v>1435</v>
      </c>
      <c r="B159" s="143" t="s">
        <v>218</v>
      </c>
      <c r="C159" s="141" t="s">
        <v>68</v>
      </c>
      <c r="D159" s="143" t="s">
        <v>715</v>
      </c>
      <c r="E159" s="141" t="s">
        <v>897</v>
      </c>
      <c r="F159" s="221" t="s">
        <v>898</v>
      </c>
      <c r="G159" s="144">
        <v>8</v>
      </c>
      <c r="H159" s="145">
        <v>24</v>
      </c>
      <c r="I159" s="146">
        <f t="shared" si="21"/>
        <v>6.8930398391853817E-4</v>
      </c>
      <c r="J159" s="146">
        <f t="shared" si="22"/>
        <v>7.2813921293612136E-4</v>
      </c>
      <c r="K159" s="146">
        <f t="shared" si="23"/>
        <v>1.9077901430842607E-3</v>
      </c>
    </row>
    <row r="160" spans="1:11" x14ac:dyDescent="0.2">
      <c r="A160" s="141" t="s">
        <v>1435</v>
      </c>
      <c r="B160" s="143" t="s">
        <v>218</v>
      </c>
      <c r="C160" s="141" t="s">
        <v>68</v>
      </c>
      <c r="D160" s="143" t="s">
        <v>715</v>
      </c>
      <c r="E160" s="141" t="s">
        <v>1524</v>
      </c>
      <c r="F160" s="221" t="s">
        <v>1525</v>
      </c>
      <c r="G160" s="144">
        <v>9</v>
      </c>
      <c r="H160" s="145">
        <v>27</v>
      </c>
      <c r="I160" s="146">
        <f t="shared" si="21"/>
        <v>7.7546698190835545E-4</v>
      </c>
      <c r="J160" s="146">
        <f t="shared" si="22"/>
        <v>8.1915661455313649E-4</v>
      </c>
      <c r="K160" s="146">
        <f t="shared" si="23"/>
        <v>2.1462639109697933E-3</v>
      </c>
    </row>
    <row r="161" spans="1:11" x14ac:dyDescent="0.2">
      <c r="A161" s="141" t="s">
        <v>1435</v>
      </c>
      <c r="B161" s="143" t="s">
        <v>218</v>
      </c>
      <c r="C161" s="141" t="s">
        <v>68</v>
      </c>
      <c r="D161" s="143" t="s">
        <v>715</v>
      </c>
      <c r="E161" s="141" t="s">
        <v>899</v>
      </c>
      <c r="F161" s="221" t="s">
        <v>900</v>
      </c>
      <c r="G161" s="144">
        <v>5</v>
      </c>
      <c r="H161" s="145">
        <v>15</v>
      </c>
      <c r="I161" s="146">
        <f t="shared" si="21"/>
        <v>4.3081498994908631E-4</v>
      </c>
      <c r="J161" s="146">
        <f t="shared" si="22"/>
        <v>4.5508700808507586E-4</v>
      </c>
      <c r="K161" s="146">
        <f t="shared" si="23"/>
        <v>1.1923688394276629E-3</v>
      </c>
    </row>
    <row r="162" spans="1:11" x14ac:dyDescent="0.2">
      <c r="A162" s="141" t="s">
        <v>1435</v>
      </c>
      <c r="B162" s="143" t="s">
        <v>218</v>
      </c>
      <c r="C162" s="141" t="s">
        <v>68</v>
      </c>
      <c r="D162" s="143" t="s">
        <v>715</v>
      </c>
      <c r="E162" s="141" t="s">
        <v>901</v>
      </c>
      <c r="F162" s="221" t="s">
        <v>902</v>
      </c>
      <c r="G162" s="144">
        <v>6</v>
      </c>
      <c r="H162" s="145">
        <v>18</v>
      </c>
      <c r="I162" s="146">
        <f t="shared" si="21"/>
        <v>5.169779879389036E-4</v>
      </c>
      <c r="J162" s="146">
        <f t="shared" si="22"/>
        <v>5.4610440970209099E-4</v>
      </c>
      <c r="K162" s="146">
        <f t="shared" si="23"/>
        <v>1.4308426073131955E-3</v>
      </c>
    </row>
    <row r="163" spans="1:11" x14ac:dyDescent="0.2">
      <c r="A163" s="157"/>
      <c r="B163" s="275"/>
      <c r="C163" s="157"/>
      <c r="D163" s="715" t="s">
        <v>1477</v>
      </c>
      <c r="E163" s="715"/>
      <c r="F163" s="715"/>
      <c r="G163" s="163">
        <f>SUM(G156:G162)</f>
        <v>92</v>
      </c>
      <c r="H163" s="163">
        <f>SUM(H156:H162)</f>
        <v>276</v>
      </c>
      <c r="I163" s="171">
        <f t="shared" si="21"/>
        <v>7.926995815063188E-3</v>
      </c>
      <c r="J163" s="158">
        <f t="shared" si="22"/>
        <v>8.3736009487653962E-3</v>
      </c>
      <c r="K163" s="158">
        <f t="shared" si="23"/>
        <v>2.1939586645468998E-2</v>
      </c>
    </row>
    <row r="164" spans="1:11" ht="24" x14ac:dyDescent="0.2">
      <c r="A164" s="141" t="s">
        <v>1435</v>
      </c>
      <c r="B164" s="143" t="s">
        <v>218</v>
      </c>
      <c r="C164" s="141" t="s">
        <v>68</v>
      </c>
      <c r="D164" s="143" t="s">
        <v>716</v>
      </c>
      <c r="E164" s="141" t="s">
        <v>903</v>
      </c>
      <c r="F164" s="221" t="s">
        <v>904</v>
      </c>
      <c r="G164" s="144">
        <v>12</v>
      </c>
      <c r="H164" s="145">
        <v>36</v>
      </c>
      <c r="I164" s="146">
        <f t="shared" si="21"/>
        <v>1.0339559758778072E-3</v>
      </c>
      <c r="J164" s="146">
        <f t="shared" si="22"/>
        <v>1.092208819404182E-3</v>
      </c>
      <c r="K164" s="146">
        <f t="shared" si="23"/>
        <v>2.861685214626391E-3</v>
      </c>
    </row>
    <row r="165" spans="1:11" x14ac:dyDescent="0.2">
      <c r="A165" s="141" t="s">
        <v>1435</v>
      </c>
      <c r="B165" s="143" t="s">
        <v>218</v>
      </c>
      <c r="C165" s="141" t="s">
        <v>68</v>
      </c>
      <c r="D165" s="143" t="s">
        <v>716</v>
      </c>
      <c r="E165" s="141" t="s">
        <v>905</v>
      </c>
      <c r="F165" s="221" t="s">
        <v>906</v>
      </c>
      <c r="G165" s="144">
        <v>45</v>
      </c>
      <c r="H165" s="145">
        <v>135</v>
      </c>
      <c r="I165" s="146">
        <f t="shared" si="21"/>
        <v>3.877334909541777E-3</v>
      </c>
      <c r="J165" s="146">
        <f t="shared" si="22"/>
        <v>4.0957830727656828E-3</v>
      </c>
      <c r="K165" s="146">
        <f t="shared" si="23"/>
        <v>1.0731319554848967E-2</v>
      </c>
    </row>
    <row r="166" spans="1:11" x14ac:dyDescent="0.2">
      <c r="A166" s="141" t="s">
        <v>1435</v>
      </c>
      <c r="B166" s="143" t="s">
        <v>218</v>
      </c>
      <c r="C166" s="141" t="s">
        <v>68</v>
      </c>
      <c r="D166" s="143" t="s">
        <v>716</v>
      </c>
      <c r="E166" s="141" t="s">
        <v>907</v>
      </c>
      <c r="F166" s="221" t="s">
        <v>908</v>
      </c>
      <c r="G166" s="144">
        <v>11</v>
      </c>
      <c r="H166" s="145">
        <v>33</v>
      </c>
      <c r="I166" s="146">
        <f t="shared" si="21"/>
        <v>9.4779297788798991E-4</v>
      </c>
      <c r="J166" s="146">
        <f t="shared" si="22"/>
        <v>1.0011914177871669E-3</v>
      </c>
      <c r="K166" s="146">
        <f t="shared" si="23"/>
        <v>2.6232114467408586E-3</v>
      </c>
    </row>
    <row r="167" spans="1:11" x14ac:dyDescent="0.2">
      <c r="A167" s="141" t="s">
        <v>1435</v>
      </c>
      <c r="B167" s="143" t="s">
        <v>218</v>
      </c>
      <c r="C167" s="141" t="s">
        <v>68</v>
      </c>
      <c r="D167" s="143" t="s">
        <v>716</v>
      </c>
      <c r="E167" s="141" t="s">
        <v>909</v>
      </c>
      <c r="F167" s="221" t="s">
        <v>910</v>
      </c>
      <c r="G167" s="144">
        <v>10</v>
      </c>
      <c r="H167" s="145">
        <v>30</v>
      </c>
      <c r="I167" s="146">
        <f t="shared" si="21"/>
        <v>8.6162997989817263E-4</v>
      </c>
      <c r="J167" s="146">
        <f t="shared" si="22"/>
        <v>9.1017401617015173E-4</v>
      </c>
      <c r="K167" s="146">
        <f t="shared" si="23"/>
        <v>2.3847376788553257E-3</v>
      </c>
    </row>
    <row r="168" spans="1:11" x14ac:dyDescent="0.2">
      <c r="A168" s="141" t="s">
        <v>1435</v>
      </c>
      <c r="B168" s="143" t="s">
        <v>218</v>
      </c>
      <c r="C168" s="141" t="s">
        <v>68</v>
      </c>
      <c r="D168" s="143" t="s">
        <v>716</v>
      </c>
      <c r="E168" s="141" t="s">
        <v>1526</v>
      </c>
      <c r="F168" s="221" t="s">
        <v>1527</v>
      </c>
      <c r="G168" s="144">
        <v>11</v>
      </c>
      <c r="H168" s="145">
        <v>33</v>
      </c>
      <c r="I168" s="146">
        <f t="shared" si="21"/>
        <v>9.4779297788798991E-4</v>
      </c>
      <c r="J168" s="146">
        <f t="shared" si="22"/>
        <v>1.0011914177871669E-3</v>
      </c>
      <c r="K168" s="146">
        <f t="shared" si="23"/>
        <v>2.6232114467408586E-3</v>
      </c>
    </row>
    <row r="169" spans="1:11" x14ac:dyDescent="0.2">
      <c r="A169" s="141" t="s">
        <v>1435</v>
      </c>
      <c r="B169" s="143" t="s">
        <v>218</v>
      </c>
      <c r="C169" s="141" t="s">
        <v>68</v>
      </c>
      <c r="D169" s="143" t="s">
        <v>716</v>
      </c>
      <c r="E169" s="141" t="s">
        <v>911</v>
      </c>
      <c r="F169" s="221" t="s">
        <v>912</v>
      </c>
      <c r="G169" s="144">
        <v>8</v>
      </c>
      <c r="H169" s="145">
        <v>24</v>
      </c>
      <c r="I169" s="146">
        <f t="shared" ref="I169:I170" si="24">H169/$H$633</f>
        <v>6.8930398391853817E-4</v>
      </c>
      <c r="J169" s="146">
        <f t="shared" ref="J169:J170" si="25">H169/$H$634</f>
        <v>7.2813921293612136E-4</v>
      </c>
      <c r="K169" s="146">
        <f t="shared" ref="K169:K170" si="26">H169/$H$247</f>
        <v>1.9077901430842607E-3</v>
      </c>
    </row>
    <row r="170" spans="1:11" x14ac:dyDescent="0.2">
      <c r="A170" s="141" t="s">
        <v>1435</v>
      </c>
      <c r="B170" s="143" t="s">
        <v>218</v>
      </c>
      <c r="C170" s="141" t="s">
        <v>68</v>
      </c>
      <c r="D170" s="143" t="s">
        <v>716</v>
      </c>
      <c r="E170" s="141" t="s">
        <v>913</v>
      </c>
      <c r="F170" s="221" t="s">
        <v>553</v>
      </c>
      <c r="G170" s="144">
        <v>6</v>
      </c>
      <c r="H170" s="145">
        <v>18</v>
      </c>
      <c r="I170" s="146">
        <f t="shared" si="24"/>
        <v>5.169779879389036E-4</v>
      </c>
      <c r="J170" s="146">
        <f t="shared" si="25"/>
        <v>5.4610440970209099E-4</v>
      </c>
      <c r="K170" s="146">
        <f t="shared" si="26"/>
        <v>1.4308426073131955E-3</v>
      </c>
    </row>
    <row r="171" spans="1:11" x14ac:dyDescent="0.2">
      <c r="A171" s="141" t="s">
        <v>1435</v>
      </c>
      <c r="B171" s="143" t="s">
        <v>218</v>
      </c>
      <c r="C171" s="141" t="s">
        <v>68</v>
      </c>
      <c r="D171" s="143" t="s">
        <v>716</v>
      </c>
      <c r="E171" s="141" t="s">
        <v>1528</v>
      </c>
      <c r="F171" s="221" t="s">
        <v>1529</v>
      </c>
      <c r="G171" s="144">
        <v>7</v>
      </c>
      <c r="H171" s="145">
        <v>21</v>
      </c>
      <c r="I171" s="146">
        <f t="shared" ref="I171:I185" si="27">H171/$H$633</f>
        <v>6.0314098592872088E-4</v>
      </c>
      <c r="J171" s="146">
        <f t="shared" ref="J171:J185" si="28">H171/$H$634</f>
        <v>6.3712181131910623E-4</v>
      </c>
      <c r="K171" s="146">
        <f t="shared" ref="K171:K185" si="29">H171/$H$247</f>
        <v>1.6693163751987281E-3</v>
      </c>
    </row>
    <row r="172" spans="1:11" x14ac:dyDescent="0.2">
      <c r="A172" s="141" t="s">
        <v>1435</v>
      </c>
      <c r="B172" s="143" t="s">
        <v>218</v>
      </c>
      <c r="C172" s="141" t="s">
        <v>68</v>
      </c>
      <c r="D172" s="143" t="s">
        <v>716</v>
      </c>
      <c r="E172" s="141" t="s">
        <v>1530</v>
      </c>
      <c r="F172" s="221" t="s">
        <v>1531</v>
      </c>
      <c r="G172" s="144">
        <v>2</v>
      </c>
      <c r="H172" s="145">
        <v>6</v>
      </c>
      <c r="I172" s="146">
        <f t="shared" si="27"/>
        <v>1.7232599597963454E-4</v>
      </c>
      <c r="J172" s="146">
        <f t="shared" si="28"/>
        <v>1.8203480323403034E-4</v>
      </c>
      <c r="K172" s="146">
        <f t="shared" si="29"/>
        <v>4.7694753577106518E-4</v>
      </c>
    </row>
    <row r="173" spans="1:11" x14ac:dyDescent="0.2">
      <c r="A173" s="141" t="s">
        <v>1435</v>
      </c>
      <c r="B173" s="143" t="s">
        <v>218</v>
      </c>
      <c r="C173" s="141" t="s">
        <v>68</v>
      </c>
      <c r="D173" s="143" t="s">
        <v>716</v>
      </c>
      <c r="E173" s="141" t="s">
        <v>1532</v>
      </c>
      <c r="F173" s="221" t="s">
        <v>1533</v>
      </c>
      <c r="G173" s="144">
        <v>3</v>
      </c>
      <c r="H173" s="145">
        <v>9</v>
      </c>
      <c r="I173" s="146">
        <f t="shared" si="27"/>
        <v>2.584889939694518E-4</v>
      </c>
      <c r="J173" s="146">
        <f t="shared" si="28"/>
        <v>2.730522048510455E-4</v>
      </c>
      <c r="K173" s="146">
        <f t="shared" si="29"/>
        <v>7.1542130365659774E-4</v>
      </c>
    </row>
    <row r="174" spans="1:11" x14ac:dyDescent="0.2">
      <c r="A174" s="141" t="s">
        <v>1435</v>
      </c>
      <c r="B174" s="143" t="s">
        <v>218</v>
      </c>
      <c r="C174" s="141" t="s">
        <v>68</v>
      </c>
      <c r="D174" s="143" t="s">
        <v>716</v>
      </c>
      <c r="E174" s="141" t="s">
        <v>1534</v>
      </c>
      <c r="F174" s="221" t="s">
        <v>1535</v>
      </c>
      <c r="G174" s="144">
        <v>2</v>
      </c>
      <c r="H174" s="145">
        <v>2</v>
      </c>
      <c r="I174" s="146">
        <f t="shared" si="27"/>
        <v>5.7441998659878176E-5</v>
      </c>
      <c r="J174" s="146">
        <f t="shared" si="28"/>
        <v>6.0678267744676776E-5</v>
      </c>
      <c r="K174" s="146">
        <f t="shared" si="29"/>
        <v>1.5898251192368839E-4</v>
      </c>
    </row>
    <row r="175" spans="1:11" x14ac:dyDescent="0.2">
      <c r="A175" s="157"/>
      <c r="B175" s="275"/>
      <c r="C175" s="157"/>
      <c r="D175" s="715" t="s">
        <v>1478</v>
      </c>
      <c r="E175" s="715"/>
      <c r="F175" s="715"/>
      <c r="G175" s="163">
        <f>SUM(G164:G174)</f>
        <v>117</v>
      </c>
      <c r="H175" s="164">
        <f>SUM(H164:H174)</f>
        <v>347</v>
      </c>
      <c r="I175" s="171">
        <f t="shared" si="27"/>
        <v>9.9661867674888643E-3</v>
      </c>
      <c r="J175" s="158">
        <f t="shared" si="28"/>
        <v>1.0527679453701422E-2</v>
      </c>
      <c r="K175" s="158">
        <f t="shared" si="29"/>
        <v>2.7583465818759936E-2</v>
      </c>
    </row>
    <row r="176" spans="1:11" x14ac:dyDescent="0.2">
      <c r="A176" s="141" t="s">
        <v>1435</v>
      </c>
      <c r="B176" s="143" t="s">
        <v>218</v>
      </c>
      <c r="C176" s="141" t="s">
        <v>68</v>
      </c>
      <c r="D176" s="143" t="s">
        <v>717</v>
      </c>
      <c r="E176" s="141" t="s">
        <v>914</v>
      </c>
      <c r="F176" s="221" t="s">
        <v>545</v>
      </c>
      <c r="G176" s="144">
        <v>73</v>
      </c>
      <c r="H176" s="145">
        <v>219</v>
      </c>
      <c r="I176" s="146">
        <f t="shared" si="27"/>
        <v>6.2898988532566601E-3</v>
      </c>
      <c r="J176" s="146">
        <f t="shared" si="28"/>
        <v>6.6442703180421073E-3</v>
      </c>
      <c r="K176" s="146">
        <f t="shared" si="29"/>
        <v>1.7408585055643879E-2</v>
      </c>
    </row>
    <row r="177" spans="1:11" x14ac:dyDescent="0.2">
      <c r="A177" s="141" t="s">
        <v>1435</v>
      </c>
      <c r="B177" s="143" t="s">
        <v>218</v>
      </c>
      <c r="C177" s="141" t="s">
        <v>68</v>
      </c>
      <c r="D177" s="143" t="s">
        <v>717</v>
      </c>
      <c r="E177" s="141" t="s">
        <v>915</v>
      </c>
      <c r="F177" s="221" t="s">
        <v>546</v>
      </c>
      <c r="G177" s="144">
        <v>182</v>
      </c>
      <c r="H177" s="145">
        <v>546</v>
      </c>
      <c r="I177" s="146">
        <f t="shared" si="27"/>
        <v>1.5681665634146743E-2</v>
      </c>
      <c r="J177" s="146">
        <f t="shared" si="28"/>
        <v>1.656516709429676E-2</v>
      </c>
      <c r="K177" s="146">
        <f t="shared" si="29"/>
        <v>4.3402225755166932E-2</v>
      </c>
    </row>
    <row r="178" spans="1:11" x14ac:dyDescent="0.2">
      <c r="A178" s="141" t="s">
        <v>1435</v>
      </c>
      <c r="B178" s="143" t="s">
        <v>218</v>
      </c>
      <c r="C178" s="141" t="s">
        <v>68</v>
      </c>
      <c r="D178" s="143" t="s">
        <v>717</v>
      </c>
      <c r="E178" s="141" t="s">
        <v>916</v>
      </c>
      <c r="F178" s="221" t="s">
        <v>917</v>
      </c>
      <c r="G178" s="144">
        <v>26</v>
      </c>
      <c r="H178" s="145">
        <v>78</v>
      </c>
      <c r="I178" s="146">
        <f t="shared" si="27"/>
        <v>2.2402379477352487E-3</v>
      </c>
      <c r="J178" s="146">
        <f t="shared" si="28"/>
        <v>2.3664524420423942E-3</v>
      </c>
      <c r="K178" s="146">
        <f t="shared" si="29"/>
        <v>6.2003179650238476E-3</v>
      </c>
    </row>
    <row r="179" spans="1:11" ht="24" x14ac:dyDescent="0.2">
      <c r="A179" s="141" t="s">
        <v>1435</v>
      </c>
      <c r="B179" s="143" t="s">
        <v>218</v>
      </c>
      <c r="C179" s="141" t="s">
        <v>68</v>
      </c>
      <c r="D179" s="143" t="s">
        <v>717</v>
      </c>
      <c r="E179" s="141" t="s">
        <v>918</v>
      </c>
      <c r="F179" s="221" t="s">
        <v>919</v>
      </c>
      <c r="G179" s="144">
        <v>20</v>
      </c>
      <c r="H179" s="145">
        <v>60</v>
      </c>
      <c r="I179" s="146">
        <f t="shared" si="27"/>
        <v>1.7232599597963453E-3</v>
      </c>
      <c r="J179" s="146">
        <f t="shared" si="28"/>
        <v>1.8203480323403035E-3</v>
      </c>
      <c r="K179" s="146">
        <f t="shared" si="29"/>
        <v>4.7694753577106515E-3</v>
      </c>
    </row>
    <row r="180" spans="1:11" ht="24" x14ac:dyDescent="0.2">
      <c r="A180" s="141" t="s">
        <v>1435</v>
      </c>
      <c r="B180" s="143" t="s">
        <v>218</v>
      </c>
      <c r="C180" s="141" t="s">
        <v>68</v>
      </c>
      <c r="D180" s="143" t="s">
        <v>717</v>
      </c>
      <c r="E180" s="141" t="s">
        <v>920</v>
      </c>
      <c r="F180" s="221" t="s">
        <v>921</v>
      </c>
      <c r="G180" s="144">
        <v>20</v>
      </c>
      <c r="H180" s="145">
        <v>20</v>
      </c>
      <c r="I180" s="146">
        <f t="shared" si="27"/>
        <v>5.7441998659878179E-4</v>
      </c>
      <c r="J180" s="146">
        <f t="shared" si="28"/>
        <v>6.0678267744676778E-4</v>
      </c>
      <c r="K180" s="146">
        <f t="shared" si="29"/>
        <v>1.589825119236884E-3</v>
      </c>
    </row>
    <row r="181" spans="1:11" x14ac:dyDescent="0.2">
      <c r="A181" s="141" t="s">
        <v>1435</v>
      </c>
      <c r="B181" s="143" t="s">
        <v>218</v>
      </c>
      <c r="C181" s="141" t="s">
        <v>68</v>
      </c>
      <c r="D181" s="143" t="s">
        <v>717</v>
      </c>
      <c r="E181" s="141" t="s">
        <v>922</v>
      </c>
      <c r="F181" s="221" t="s">
        <v>923</v>
      </c>
      <c r="G181" s="144">
        <v>22</v>
      </c>
      <c r="H181" s="145">
        <v>66</v>
      </c>
      <c r="I181" s="146">
        <f t="shared" si="27"/>
        <v>1.8955859557759798E-3</v>
      </c>
      <c r="J181" s="146">
        <f t="shared" si="28"/>
        <v>2.0023828355743337E-3</v>
      </c>
      <c r="K181" s="146">
        <f t="shared" si="29"/>
        <v>5.2464228934817171E-3</v>
      </c>
    </row>
    <row r="182" spans="1:11" x14ac:dyDescent="0.2">
      <c r="A182" s="141" t="s">
        <v>1435</v>
      </c>
      <c r="B182" s="143" t="s">
        <v>218</v>
      </c>
      <c r="C182" s="141" t="s">
        <v>68</v>
      </c>
      <c r="D182" s="143" t="s">
        <v>717</v>
      </c>
      <c r="E182" s="141" t="s">
        <v>924</v>
      </c>
      <c r="F182" s="221" t="s">
        <v>925</v>
      </c>
      <c r="G182" s="144">
        <v>21</v>
      </c>
      <c r="H182" s="145">
        <v>63</v>
      </c>
      <c r="I182" s="146">
        <f t="shared" si="27"/>
        <v>1.8094229577861626E-3</v>
      </c>
      <c r="J182" s="146">
        <f t="shared" si="28"/>
        <v>1.9113654339573186E-3</v>
      </c>
      <c r="K182" s="146">
        <f t="shared" si="29"/>
        <v>5.0079491255961847E-3</v>
      </c>
    </row>
    <row r="183" spans="1:11" x14ac:dyDescent="0.2">
      <c r="A183" s="141" t="s">
        <v>1435</v>
      </c>
      <c r="B183" s="143" t="s">
        <v>218</v>
      </c>
      <c r="C183" s="141" t="s">
        <v>68</v>
      </c>
      <c r="D183" s="143" t="s">
        <v>717</v>
      </c>
      <c r="E183" s="141" t="s">
        <v>926</v>
      </c>
      <c r="F183" s="221" t="s">
        <v>927</v>
      </c>
      <c r="G183" s="144">
        <v>34</v>
      </c>
      <c r="H183" s="145">
        <v>102</v>
      </c>
      <c r="I183" s="146">
        <f t="shared" si="27"/>
        <v>2.929541931653787E-3</v>
      </c>
      <c r="J183" s="146">
        <f t="shared" si="28"/>
        <v>3.0945916549785157E-3</v>
      </c>
      <c r="K183" s="146">
        <f t="shared" si="29"/>
        <v>8.1081081081081086E-3</v>
      </c>
    </row>
    <row r="184" spans="1:11" x14ac:dyDescent="0.2">
      <c r="A184" s="141" t="s">
        <v>1435</v>
      </c>
      <c r="B184" s="143" t="s">
        <v>218</v>
      </c>
      <c r="C184" s="141" t="s">
        <v>68</v>
      </c>
      <c r="D184" s="143" t="s">
        <v>717</v>
      </c>
      <c r="E184" s="141" t="s">
        <v>1536</v>
      </c>
      <c r="F184" s="221" t="s">
        <v>1537</v>
      </c>
      <c r="G184" s="144">
        <v>13</v>
      </c>
      <c r="H184" s="145">
        <v>39</v>
      </c>
      <c r="I184" s="146">
        <f t="shared" si="27"/>
        <v>1.1201189738676244E-3</v>
      </c>
      <c r="J184" s="146">
        <f t="shared" si="28"/>
        <v>1.1832262210211971E-3</v>
      </c>
      <c r="K184" s="146">
        <f t="shared" si="29"/>
        <v>3.1001589825119238E-3</v>
      </c>
    </row>
    <row r="185" spans="1:11" x14ac:dyDescent="0.2">
      <c r="A185" s="141" t="s">
        <v>1435</v>
      </c>
      <c r="B185" s="143" t="s">
        <v>218</v>
      </c>
      <c r="C185" s="141" t="s">
        <v>68</v>
      </c>
      <c r="D185" s="143" t="s">
        <v>717</v>
      </c>
      <c r="E185" s="141" t="s">
        <v>928</v>
      </c>
      <c r="F185" s="221" t="s">
        <v>547</v>
      </c>
      <c r="G185" s="144">
        <v>16</v>
      </c>
      <c r="H185" s="145">
        <v>48</v>
      </c>
      <c r="I185" s="146">
        <f t="shared" si="27"/>
        <v>1.3786079678370763E-3</v>
      </c>
      <c r="J185" s="146">
        <f t="shared" si="28"/>
        <v>1.4562784258722427E-3</v>
      </c>
      <c r="K185" s="146">
        <f t="shared" si="29"/>
        <v>3.8155802861685214E-3</v>
      </c>
    </row>
    <row r="186" spans="1:11" hidden="1" x14ac:dyDescent="0.2">
      <c r="A186" s="141"/>
      <c r="B186" s="143"/>
      <c r="C186" s="141"/>
      <c r="D186" s="143"/>
      <c r="E186" s="141"/>
      <c r="F186" s="221"/>
      <c r="G186" s="144"/>
      <c r="H186" s="145"/>
      <c r="I186" s="146"/>
      <c r="J186" s="146"/>
      <c r="K186" s="146"/>
    </row>
    <row r="187" spans="1:11" hidden="1" x14ac:dyDescent="0.2">
      <c r="A187" s="295"/>
      <c r="B187" s="294"/>
      <c r="C187" s="295"/>
      <c r="D187" s="294"/>
      <c r="E187" s="295"/>
      <c r="F187" s="296"/>
      <c r="G187" s="297"/>
      <c r="H187" s="298"/>
      <c r="I187" s="299"/>
      <c r="J187" s="299"/>
      <c r="K187" s="299"/>
    </row>
    <row r="188" spans="1:11" x14ac:dyDescent="0.2">
      <c r="A188" s="542"/>
      <c r="B188" s="543"/>
      <c r="C188" s="542"/>
      <c r="D188" s="716" t="s">
        <v>1479</v>
      </c>
      <c r="E188" s="716"/>
      <c r="F188" s="716"/>
      <c r="G188" s="544">
        <f>SUM(G176:G187)</f>
        <v>427</v>
      </c>
      <c r="H188" s="546">
        <f>SUM(H176:H187)</f>
        <v>1241</v>
      </c>
      <c r="I188" s="541">
        <f t="shared" ref="I188:I204" si="30">H188/$H$633</f>
        <v>3.5642760168454413E-2</v>
      </c>
      <c r="J188" s="545">
        <f t="shared" ref="J188:J204" si="31">H188/$H$634</f>
        <v>3.7650865135571941E-2</v>
      </c>
      <c r="K188" s="545">
        <f t="shared" ref="K188:K204" si="32">H188/$H$247</f>
        <v>9.8648648648648654E-2</v>
      </c>
    </row>
    <row r="189" spans="1:11" x14ac:dyDescent="0.2">
      <c r="A189" s="334" t="s">
        <v>1435</v>
      </c>
      <c r="B189" s="326" t="s">
        <v>218</v>
      </c>
      <c r="C189" s="334" t="s">
        <v>68</v>
      </c>
      <c r="D189" s="326" t="s">
        <v>718</v>
      </c>
      <c r="E189" s="334" t="s">
        <v>929</v>
      </c>
      <c r="F189" s="335" t="s">
        <v>930</v>
      </c>
      <c r="G189" s="336">
        <v>101</v>
      </c>
      <c r="H189" s="337">
        <v>303</v>
      </c>
      <c r="I189" s="170">
        <f t="shared" si="30"/>
        <v>8.7024627969715437E-3</v>
      </c>
      <c r="J189" s="170">
        <f t="shared" si="31"/>
        <v>9.1927575633185318E-3</v>
      </c>
      <c r="K189" s="170">
        <f t="shared" si="32"/>
        <v>2.4085850556438793E-2</v>
      </c>
    </row>
    <row r="190" spans="1:11" x14ac:dyDescent="0.2">
      <c r="A190" s="141" t="s">
        <v>1435</v>
      </c>
      <c r="B190" s="143" t="s">
        <v>218</v>
      </c>
      <c r="C190" s="141" t="s">
        <v>68</v>
      </c>
      <c r="D190" s="143" t="s">
        <v>718</v>
      </c>
      <c r="E190" s="141" t="s">
        <v>931</v>
      </c>
      <c r="F190" s="221" t="s">
        <v>932</v>
      </c>
      <c r="G190" s="144">
        <v>9</v>
      </c>
      <c r="H190" s="145">
        <v>27</v>
      </c>
      <c r="I190" s="146">
        <f t="shared" si="30"/>
        <v>7.7546698190835545E-4</v>
      </c>
      <c r="J190" s="146">
        <f t="shared" si="31"/>
        <v>8.1915661455313649E-4</v>
      </c>
      <c r="K190" s="146">
        <f t="shared" si="32"/>
        <v>2.1462639109697933E-3</v>
      </c>
    </row>
    <row r="191" spans="1:11" x14ac:dyDescent="0.2">
      <c r="A191" s="141" t="s">
        <v>1435</v>
      </c>
      <c r="B191" s="143" t="s">
        <v>218</v>
      </c>
      <c r="C191" s="141" t="s">
        <v>68</v>
      </c>
      <c r="D191" s="143" t="s">
        <v>718</v>
      </c>
      <c r="E191" s="141" t="s">
        <v>933</v>
      </c>
      <c r="F191" s="221" t="s">
        <v>548</v>
      </c>
      <c r="G191" s="144">
        <v>26</v>
      </c>
      <c r="H191" s="145">
        <v>78</v>
      </c>
      <c r="I191" s="146">
        <f t="shared" si="30"/>
        <v>2.2402379477352487E-3</v>
      </c>
      <c r="J191" s="146">
        <f t="shared" si="31"/>
        <v>2.3664524420423942E-3</v>
      </c>
      <c r="K191" s="146">
        <f t="shared" si="32"/>
        <v>6.2003179650238476E-3</v>
      </c>
    </row>
    <row r="192" spans="1:11" ht="24" x14ac:dyDescent="0.2">
      <c r="A192" s="141" t="s">
        <v>1435</v>
      </c>
      <c r="B192" s="143" t="s">
        <v>218</v>
      </c>
      <c r="C192" s="141" t="s">
        <v>68</v>
      </c>
      <c r="D192" s="143" t="s">
        <v>718</v>
      </c>
      <c r="E192" s="141" t="s">
        <v>934</v>
      </c>
      <c r="F192" s="221" t="s">
        <v>935</v>
      </c>
      <c r="G192" s="144">
        <v>9</v>
      </c>
      <c r="H192" s="145">
        <v>27</v>
      </c>
      <c r="I192" s="146">
        <f t="shared" si="30"/>
        <v>7.7546698190835545E-4</v>
      </c>
      <c r="J192" s="146">
        <f t="shared" si="31"/>
        <v>8.1915661455313649E-4</v>
      </c>
      <c r="K192" s="146">
        <f t="shared" si="32"/>
        <v>2.1462639109697933E-3</v>
      </c>
    </row>
    <row r="193" spans="1:11" x14ac:dyDescent="0.2">
      <c r="A193" s="141" t="s">
        <v>1435</v>
      </c>
      <c r="B193" s="143" t="s">
        <v>218</v>
      </c>
      <c r="C193" s="141" t="s">
        <v>68</v>
      </c>
      <c r="D193" s="143" t="s">
        <v>718</v>
      </c>
      <c r="E193" s="141" t="s">
        <v>936</v>
      </c>
      <c r="F193" s="221" t="s">
        <v>937</v>
      </c>
      <c r="G193" s="144">
        <v>9</v>
      </c>
      <c r="H193" s="145">
        <v>27</v>
      </c>
      <c r="I193" s="146">
        <f t="shared" si="30"/>
        <v>7.7546698190835545E-4</v>
      </c>
      <c r="J193" s="146">
        <f t="shared" si="31"/>
        <v>8.1915661455313649E-4</v>
      </c>
      <c r="K193" s="146">
        <f t="shared" si="32"/>
        <v>2.1462639109697933E-3</v>
      </c>
    </row>
    <row r="194" spans="1:11" x14ac:dyDescent="0.2">
      <c r="A194" s="141" t="s">
        <v>1435</v>
      </c>
      <c r="B194" s="143" t="s">
        <v>218</v>
      </c>
      <c r="C194" s="141" t="s">
        <v>68</v>
      </c>
      <c r="D194" s="143" t="s">
        <v>718</v>
      </c>
      <c r="E194" s="141" t="s">
        <v>938</v>
      </c>
      <c r="F194" s="221" t="s">
        <v>549</v>
      </c>
      <c r="G194" s="144">
        <v>15</v>
      </c>
      <c r="H194" s="145">
        <v>45</v>
      </c>
      <c r="I194" s="146">
        <f t="shared" si="30"/>
        <v>1.2924449698472589E-3</v>
      </c>
      <c r="J194" s="146">
        <f t="shared" si="31"/>
        <v>1.3652610242552276E-3</v>
      </c>
      <c r="K194" s="146">
        <f t="shared" si="32"/>
        <v>3.577106518282989E-3</v>
      </c>
    </row>
    <row r="195" spans="1:11" ht="24" x14ac:dyDescent="0.2">
      <c r="A195" s="141" t="s">
        <v>1435</v>
      </c>
      <c r="B195" s="143" t="s">
        <v>218</v>
      </c>
      <c r="C195" s="141" t="s">
        <v>68</v>
      </c>
      <c r="D195" s="143" t="s">
        <v>718</v>
      </c>
      <c r="E195" s="141" t="s">
        <v>939</v>
      </c>
      <c r="F195" s="221" t="s">
        <v>940</v>
      </c>
      <c r="G195" s="144">
        <v>13</v>
      </c>
      <c r="H195" s="145">
        <v>39</v>
      </c>
      <c r="I195" s="146">
        <f t="shared" si="30"/>
        <v>1.1201189738676244E-3</v>
      </c>
      <c r="J195" s="146">
        <f t="shared" si="31"/>
        <v>1.1832262210211971E-3</v>
      </c>
      <c r="K195" s="146">
        <f t="shared" si="32"/>
        <v>3.1001589825119238E-3</v>
      </c>
    </row>
    <row r="196" spans="1:11" x14ac:dyDescent="0.2">
      <c r="A196" s="141" t="s">
        <v>1435</v>
      </c>
      <c r="B196" s="143" t="s">
        <v>218</v>
      </c>
      <c r="C196" s="141" t="s">
        <v>68</v>
      </c>
      <c r="D196" s="143" t="s">
        <v>718</v>
      </c>
      <c r="E196" s="141" t="s">
        <v>1538</v>
      </c>
      <c r="F196" s="221" t="s">
        <v>1539</v>
      </c>
      <c r="G196" s="144">
        <v>12</v>
      </c>
      <c r="H196" s="145">
        <v>36</v>
      </c>
      <c r="I196" s="146">
        <f t="shared" si="30"/>
        <v>1.0339559758778072E-3</v>
      </c>
      <c r="J196" s="146">
        <f t="shared" si="31"/>
        <v>1.092208819404182E-3</v>
      </c>
      <c r="K196" s="146">
        <f t="shared" si="32"/>
        <v>2.861685214626391E-3</v>
      </c>
    </row>
    <row r="197" spans="1:11" x14ac:dyDescent="0.2">
      <c r="A197" s="141" t="s">
        <v>1435</v>
      </c>
      <c r="B197" s="143" t="s">
        <v>218</v>
      </c>
      <c r="C197" s="141" t="s">
        <v>68</v>
      </c>
      <c r="D197" s="143" t="s">
        <v>718</v>
      </c>
      <c r="E197" s="141" t="s">
        <v>1540</v>
      </c>
      <c r="F197" s="221" t="s">
        <v>1356</v>
      </c>
      <c r="G197" s="144">
        <v>5</v>
      </c>
      <c r="H197" s="145">
        <v>15</v>
      </c>
      <c r="I197" s="146">
        <f t="shared" si="30"/>
        <v>4.3081498994908631E-4</v>
      </c>
      <c r="J197" s="146">
        <f t="shared" si="31"/>
        <v>4.5508700808507586E-4</v>
      </c>
      <c r="K197" s="146">
        <f t="shared" si="32"/>
        <v>1.1923688394276629E-3</v>
      </c>
    </row>
    <row r="198" spans="1:11" x14ac:dyDescent="0.2">
      <c r="A198" s="141" t="s">
        <v>1435</v>
      </c>
      <c r="B198" s="143" t="s">
        <v>218</v>
      </c>
      <c r="C198" s="141" t="s">
        <v>68</v>
      </c>
      <c r="D198" s="143" t="s">
        <v>718</v>
      </c>
      <c r="E198" s="141" t="s">
        <v>1541</v>
      </c>
      <c r="F198" s="221" t="s">
        <v>553</v>
      </c>
      <c r="G198" s="144">
        <v>2</v>
      </c>
      <c r="H198" s="145">
        <v>6</v>
      </c>
      <c r="I198" s="146">
        <f t="shared" si="30"/>
        <v>1.7232599597963454E-4</v>
      </c>
      <c r="J198" s="146">
        <f t="shared" si="31"/>
        <v>1.8203480323403034E-4</v>
      </c>
      <c r="K198" s="146">
        <f t="shared" si="32"/>
        <v>4.7694753577106518E-4</v>
      </c>
    </row>
    <row r="199" spans="1:11" x14ac:dyDescent="0.2">
      <c r="A199" s="157"/>
      <c r="B199" s="275"/>
      <c r="C199" s="157"/>
      <c r="D199" s="715" t="s">
        <v>1480</v>
      </c>
      <c r="E199" s="715"/>
      <c r="F199" s="715"/>
      <c r="G199" s="163">
        <f>SUM(G189:G198)</f>
        <v>201</v>
      </c>
      <c r="H199" s="164">
        <f>SUM(H189:H198)</f>
        <v>603</v>
      </c>
      <c r="I199" s="171">
        <f t="shared" si="30"/>
        <v>1.7318762595953271E-2</v>
      </c>
      <c r="J199" s="158">
        <f t="shared" si="31"/>
        <v>1.8294497725020047E-2</v>
      </c>
      <c r="K199" s="158">
        <f t="shared" si="32"/>
        <v>4.7933227344992051E-2</v>
      </c>
    </row>
    <row r="200" spans="1:11" x14ac:dyDescent="0.2">
      <c r="A200" s="141" t="s">
        <v>1435</v>
      </c>
      <c r="B200" s="143" t="s">
        <v>218</v>
      </c>
      <c r="C200" s="141" t="s">
        <v>68</v>
      </c>
      <c r="D200" s="143" t="s">
        <v>719</v>
      </c>
      <c r="E200" s="141" t="s">
        <v>941</v>
      </c>
      <c r="F200" s="221" t="s">
        <v>942</v>
      </c>
      <c r="G200" s="144">
        <v>9</v>
      </c>
      <c r="H200" s="145">
        <v>27</v>
      </c>
      <c r="I200" s="146">
        <f t="shared" si="30"/>
        <v>7.7546698190835545E-4</v>
      </c>
      <c r="J200" s="146">
        <f t="shared" si="31"/>
        <v>8.1915661455313649E-4</v>
      </c>
      <c r="K200" s="146">
        <f t="shared" si="32"/>
        <v>2.1462639109697933E-3</v>
      </c>
    </row>
    <row r="201" spans="1:11" x14ac:dyDescent="0.2">
      <c r="A201" s="141" t="s">
        <v>1435</v>
      </c>
      <c r="B201" s="143" t="s">
        <v>218</v>
      </c>
      <c r="C201" s="141" t="s">
        <v>68</v>
      </c>
      <c r="D201" s="143" t="s">
        <v>719</v>
      </c>
      <c r="E201" s="141" t="s">
        <v>943</v>
      </c>
      <c r="F201" s="221" t="s">
        <v>533</v>
      </c>
      <c r="G201" s="144">
        <v>11</v>
      </c>
      <c r="H201" s="145">
        <v>33</v>
      </c>
      <c r="I201" s="146">
        <f t="shared" si="30"/>
        <v>9.4779297788798991E-4</v>
      </c>
      <c r="J201" s="146">
        <f t="shared" si="31"/>
        <v>1.0011914177871669E-3</v>
      </c>
      <c r="K201" s="146">
        <f t="shared" si="32"/>
        <v>2.6232114467408586E-3</v>
      </c>
    </row>
    <row r="202" spans="1:11" x14ac:dyDescent="0.2">
      <c r="A202" s="141" t="s">
        <v>1435</v>
      </c>
      <c r="B202" s="143" t="s">
        <v>218</v>
      </c>
      <c r="C202" s="141" t="s">
        <v>68</v>
      </c>
      <c r="D202" s="143" t="s">
        <v>719</v>
      </c>
      <c r="E202" s="141" t="s">
        <v>1542</v>
      </c>
      <c r="F202" s="221" t="s">
        <v>1543</v>
      </c>
      <c r="G202" s="144">
        <v>4</v>
      </c>
      <c r="H202" s="145">
        <v>12</v>
      </c>
      <c r="I202" s="146">
        <f t="shared" si="30"/>
        <v>3.4465199195926908E-4</v>
      </c>
      <c r="J202" s="146">
        <f t="shared" si="31"/>
        <v>3.6406960646806068E-4</v>
      </c>
      <c r="K202" s="146">
        <f t="shared" si="32"/>
        <v>9.5389507154213036E-4</v>
      </c>
    </row>
    <row r="203" spans="1:11" x14ac:dyDescent="0.2">
      <c r="A203" s="141" t="s">
        <v>1435</v>
      </c>
      <c r="B203" s="143" t="s">
        <v>218</v>
      </c>
      <c r="C203" s="141" t="s">
        <v>68</v>
      </c>
      <c r="D203" s="143" t="s">
        <v>719</v>
      </c>
      <c r="E203" s="141" t="s">
        <v>944</v>
      </c>
      <c r="F203" s="221" t="s">
        <v>534</v>
      </c>
      <c r="G203" s="144">
        <v>3</v>
      </c>
      <c r="H203" s="145">
        <v>3</v>
      </c>
      <c r="I203" s="146">
        <f t="shared" si="30"/>
        <v>8.6162997989817271E-5</v>
      </c>
      <c r="J203" s="146">
        <f t="shared" si="31"/>
        <v>9.101740161701517E-5</v>
      </c>
      <c r="K203" s="146">
        <f t="shared" si="32"/>
        <v>2.3847376788553259E-4</v>
      </c>
    </row>
    <row r="204" spans="1:11" x14ac:dyDescent="0.2">
      <c r="A204" s="141" t="s">
        <v>1435</v>
      </c>
      <c r="B204" s="143" t="s">
        <v>218</v>
      </c>
      <c r="C204" s="141" t="s">
        <v>68</v>
      </c>
      <c r="D204" s="143" t="s">
        <v>719</v>
      </c>
      <c r="E204" s="141" t="s">
        <v>1544</v>
      </c>
      <c r="F204" s="221" t="s">
        <v>1545</v>
      </c>
      <c r="G204" s="144">
        <v>2</v>
      </c>
      <c r="H204" s="145">
        <v>6</v>
      </c>
      <c r="I204" s="146">
        <f t="shared" si="30"/>
        <v>1.7232599597963454E-4</v>
      </c>
      <c r="J204" s="146">
        <f t="shared" si="31"/>
        <v>1.8203480323403034E-4</v>
      </c>
      <c r="K204" s="146">
        <f t="shared" si="32"/>
        <v>4.7694753577106518E-4</v>
      </c>
    </row>
    <row r="205" spans="1:11" hidden="1" x14ac:dyDescent="0.2">
      <c r="A205" s="141"/>
      <c r="B205" s="143"/>
      <c r="C205" s="141"/>
      <c r="D205" s="143"/>
      <c r="E205" s="141"/>
      <c r="F205" s="221"/>
      <c r="G205" s="144"/>
      <c r="H205" s="145"/>
      <c r="I205" s="146"/>
      <c r="J205" s="146"/>
      <c r="K205" s="146"/>
    </row>
    <row r="206" spans="1:11" x14ac:dyDescent="0.2">
      <c r="A206" s="157"/>
      <c r="B206" s="275"/>
      <c r="C206" s="157"/>
      <c r="D206" s="715" t="s">
        <v>1481</v>
      </c>
      <c r="E206" s="715"/>
      <c r="F206" s="715"/>
      <c r="G206" s="163">
        <f>SUM(G200:G205)</f>
        <v>29</v>
      </c>
      <c r="H206" s="164">
        <f>SUM(H200:H205)</f>
        <v>81</v>
      </c>
      <c r="I206" s="171">
        <f t="shared" ref="I206:I225" si="33">H206/$H$633</f>
        <v>2.3264009457250661E-3</v>
      </c>
      <c r="J206" s="158">
        <f t="shared" ref="J206:J211" si="34">H206/$H$634</f>
        <v>2.4574698436594096E-3</v>
      </c>
      <c r="K206" s="158">
        <f t="shared" ref="K206:K225" si="35">H206/$H$247</f>
        <v>6.43879173290938E-3</v>
      </c>
    </row>
    <row r="207" spans="1:11" ht="24" x14ac:dyDescent="0.2">
      <c r="A207" s="141" t="s">
        <v>1435</v>
      </c>
      <c r="B207" s="143" t="s">
        <v>218</v>
      </c>
      <c r="C207" s="141" t="s">
        <v>68</v>
      </c>
      <c r="D207" s="141" t="s">
        <v>720</v>
      </c>
      <c r="E207" s="141" t="s">
        <v>945</v>
      </c>
      <c r="F207" s="221" t="s">
        <v>946</v>
      </c>
      <c r="G207" s="144">
        <v>45</v>
      </c>
      <c r="H207" s="145">
        <v>135</v>
      </c>
      <c r="I207" s="146">
        <f t="shared" si="33"/>
        <v>3.877334909541777E-3</v>
      </c>
      <c r="J207" s="146">
        <f t="shared" si="34"/>
        <v>4.0957830727656828E-3</v>
      </c>
      <c r="K207" s="146">
        <f t="shared" si="35"/>
        <v>1.0731319554848967E-2</v>
      </c>
    </row>
    <row r="208" spans="1:11" x14ac:dyDescent="0.2">
      <c r="A208" s="141" t="s">
        <v>1435</v>
      </c>
      <c r="B208" s="143" t="s">
        <v>218</v>
      </c>
      <c r="C208" s="141" t="s">
        <v>68</v>
      </c>
      <c r="D208" s="141" t="s">
        <v>720</v>
      </c>
      <c r="E208" s="141" t="s">
        <v>1546</v>
      </c>
      <c r="F208" s="221" t="s">
        <v>1547</v>
      </c>
      <c r="G208" s="144">
        <v>13</v>
      </c>
      <c r="H208" s="145">
        <v>39</v>
      </c>
      <c r="I208" s="146">
        <f t="shared" si="33"/>
        <v>1.1201189738676244E-3</v>
      </c>
      <c r="J208" s="146">
        <f t="shared" si="34"/>
        <v>1.1832262210211971E-3</v>
      </c>
      <c r="K208" s="146">
        <f t="shared" si="35"/>
        <v>3.1001589825119238E-3</v>
      </c>
    </row>
    <row r="209" spans="1:11" x14ac:dyDescent="0.2">
      <c r="A209" s="295" t="s">
        <v>1435</v>
      </c>
      <c r="B209" s="294" t="s">
        <v>218</v>
      </c>
      <c r="C209" s="295" t="s">
        <v>68</v>
      </c>
      <c r="D209" s="295" t="s">
        <v>720</v>
      </c>
      <c r="E209" s="295" t="s">
        <v>1548</v>
      </c>
      <c r="F209" s="296" t="s">
        <v>820</v>
      </c>
      <c r="G209" s="297">
        <v>2</v>
      </c>
      <c r="H209" s="298">
        <v>6</v>
      </c>
      <c r="I209" s="299">
        <f t="shared" si="33"/>
        <v>1.7232599597963454E-4</v>
      </c>
      <c r="J209" s="299">
        <f t="shared" si="34"/>
        <v>1.8203480323403034E-4</v>
      </c>
      <c r="K209" s="299">
        <f t="shared" si="35"/>
        <v>4.7694753577106518E-4</v>
      </c>
    </row>
    <row r="210" spans="1:11" x14ac:dyDescent="0.2">
      <c r="A210" s="542"/>
      <c r="B210" s="543"/>
      <c r="C210" s="542"/>
      <c r="D210" s="716" t="s">
        <v>1482</v>
      </c>
      <c r="E210" s="716"/>
      <c r="F210" s="716"/>
      <c r="G210" s="544">
        <f>SUM(G207:G209)</f>
        <v>60</v>
      </c>
      <c r="H210" s="544">
        <f>SUM(H207:H209)</f>
        <v>180</v>
      </c>
      <c r="I210" s="541">
        <f t="shared" si="33"/>
        <v>5.1697798793890358E-3</v>
      </c>
      <c r="J210" s="545">
        <f t="shared" si="34"/>
        <v>5.4610440970209104E-3</v>
      </c>
      <c r="K210" s="545">
        <f t="shared" si="35"/>
        <v>1.4308426073131956E-2</v>
      </c>
    </row>
    <row r="211" spans="1:11" x14ac:dyDescent="0.2">
      <c r="A211" s="159"/>
      <c r="B211" s="276"/>
      <c r="C211" s="260" t="s">
        <v>248</v>
      </c>
      <c r="D211" s="260"/>
      <c r="E211" s="260"/>
      <c r="F211" s="260"/>
      <c r="G211" s="165">
        <f>G17+G41+G58+G75+G77+G83+G96+G108+G111+G119+G122+G131+G140+G155+G163+G175+G188+G199+G206+G210+G60+G125+G98</f>
        <v>4036</v>
      </c>
      <c r="H211" s="165">
        <f>H17+H41+H58+H75+H77+H83+H96+H108+H111+H119+H122+H131+H140+H155+H163+H175+H188+H199+H206+H210+H60+H125+H98+H100+H128+H113</f>
        <v>12319</v>
      </c>
      <c r="I211" s="172">
        <f t="shared" si="33"/>
        <v>0.35381399074551961</v>
      </c>
      <c r="J211" s="160">
        <f t="shared" si="34"/>
        <v>0.37374779017333665</v>
      </c>
      <c r="K211" s="160">
        <f t="shared" si="35"/>
        <v>0.97925278219395862</v>
      </c>
    </row>
    <row r="212" spans="1:11" hidden="1" x14ac:dyDescent="0.2">
      <c r="A212" s="141"/>
      <c r="B212" s="199" t="s">
        <v>218</v>
      </c>
      <c r="C212" s="198" t="s">
        <v>67</v>
      </c>
      <c r="D212" s="143"/>
      <c r="E212" s="141"/>
      <c r="F212" s="221"/>
      <c r="G212" s="144"/>
      <c r="H212" s="145"/>
      <c r="I212" s="200">
        <f t="shared" si="33"/>
        <v>0</v>
      </c>
      <c r="J212" s="200">
        <f t="shared" ref="J212:J225" si="36">H212/$H$635</f>
        <v>0</v>
      </c>
      <c r="K212" s="200">
        <f t="shared" si="35"/>
        <v>0</v>
      </c>
    </row>
    <row r="213" spans="1:11" hidden="1" x14ac:dyDescent="0.2">
      <c r="A213" s="141"/>
      <c r="B213" s="199" t="s">
        <v>218</v>
      </c>
      <c r="C213" s="198" t="s">
        <v>67</v>
      </c>
      <c r="D213" s="143"/>
      <c r="E213" s="141"/>
      <c r="F213" s="221"/>
      <c r="G213" s="144"/>
      <c r="H213" s="145"/>
      <c r="I213" s="200">
        <f t="shared" si="33"/>
        <v>0</v>
      </c>
      <c r="J213" s="200">
        <f t="shared" si="36"/>
        <v>0</v>
      </c>
      <c r="K213" s="200">
        <f t="shared" si="35"/>
        <v>0</v>
      </c>
    </row>
    <row r="214" spans="1:11" hidden="1" x14ac:dyDescent="0.2">
      <c r="A214" s="141"/>
      <c r="B214" s="199" t="s">
        <v>218</v>
      </c>
      <c r="C214" s="198" t="s">
        <v>67</v>
      </c>
      <c r="D214" s="199"/>
      <c r="E214" s="222"/>
      <c r="F214" s="223"/>
      <c r="G214" s="224"/>
      <c r="H214" s="225"/>
      <c r="I214" s="200">
        <f t="shared" si="33"/>
        <v>0</v>
      </c>
      <c r="J214" s="200">
        <f t="shared" si="36"/>
        <v>0</v>
      </c>
      <c r="K214" s="200">
        <f t="shared" si="35"/>
        <v>0</v>
      </c>
    </row>
    <row r="215" spans="1:11" hidden="1" x14ac:dyDescent="0.2">
      <c r="A215" s="157"/>
      <c r="B215" s="275"/>
      <c r="C215" s="157"/>
      <c r="D215" s="713" t="s">
        <v>249</v>
      </c>
      <c r="E215" s="713"/>
      <c r="F215" s="713"/>
      <c r="G215" s="163">
        <f>SUM(G212:G214)</f>
        <v>0</v>
      </c>
      <c r="H215" s="163">
        <f>SUM(H212:H214)</f>
        <v>0</v>
      </c>
      <c r="I215" s="171">
        <f t="shared" si="33"/>
        <v>0</v>
      </c>
      <c r="J215" s="158">
        <f t="shared" si="36"/>
        <v>0</v>
      </c>
      <c r="K215" s="158">
        <f t="shared" si="35"/>
        <v>0</v>
      </c>
    </row>
    <row r="216" spans="1:11" x14ac:dyDescent="0.2">
      <c r="A216" s="141" t="s">
        <v>1435</v>
      </c>
      <c r="B216" s="143" t="s">
        <v>218</v>
      </c>
      <c r="C216" s="141" t="s">
        <v>67</v>
      </c>
      <c r="D216" s="143" t="s">
        <v>704</v>
      </c>
      <c r="E216" s="141" t="s">
        <v>948</v>
      </c>
      <c r="F216" s="221" t="s">
        <v>824</v>
      </c>
      <c r="G216" s="144">
        <v>4</v>
      </c>
      <c r="H216" s="145">
        <v>12</v>
      </c>
      <c r="I216" s="146">
        <f t="shared" si="33"/>
        <v>3.4465199195926908E-4</v>
      </c>
      <c r="J216" s="146">
        <f t="shared" si="36"/>
        <v>6.462035541195477E-3</v>
      </c>
      <c r="K216" s="146">
        <f t="shared" si="35"/>
        <v>9.5389507154213036E-4</v>
      </c>
    </row>
    <row r="217" spans="1:11" x14ac:dyDescent="0.2">
      <c r="A217" s="141" t="s">
        <v>1435</v>
      </c>
      <c r="B217" s="143" t="s">
        <v>218</v>
      </c>
      <c r="C217" s="141" t="s">
        <v>67</v>
      </c>
      <c r="D217" s="143" t="s">
        <v>704</v>
      </c>
      <c r="E217" s="141" t="s">
        <v>1549</v>
      </c>
      <c r="F217" s="221" t="s">
        <v>1550</v>
      </c>
      <c r="G217" s="144">
        <v>2</v>
      </c>
      <c r="H217" s="145">
        <v>6</v>
      </c>
      <c r="I217" s="146">
        <f t="shared" si="33"/>
        <v>1.7232599597963454E-4</v>
      </c>
      <c r="J217" s="146">
        <f t="shared" si="36"/>
        <v>3.2310177705977385E-3</v>
      </c>
      <c r="K217" s="146">
        <f t="shared" si="35"/>
        <v>4.7694753577106518E-4</v>
      </c>
    </row>
    <row r="218" spans="1:11" x14ac:dyDescent="0.2">
      <c r="A218" s="141" t="s">
        <v>1435</v>
      </c>
      <c r="B218" s="143" t="s">
        <v>218</v>
      </c>
      <c r="C218" s="141" t="s">
        <v>67</v>
      </c>
      <c r="D218" s="143" t="s">
        <v>704</v>
      </c>
      <c r="E218" s="141" t="s">
        <v>1551</v>
      </c>
      <c r="F218" s="221" t="s">
        <v>1552</v>
      </c>
      <c r="G218" s="144">
        <v>3</v>
      </c>
      <c r="H218" s="145">
        <v>9</v>
      </c>
      <c r="I218" s="146">
        <f t="shared" si="33"/>
        <v>2.584889939694518E-4</v>
      </c>
      <c r="J218" s="146">
        <f t="shared" si="36"/>
        <v>4.8465266558966073E-3</v>
      </c>
      <c r="K218" s="146">
        <f t="shared" si="35"/>
        <v>7.1542130365659774E-4</v>
      </c>
    </row>
    <row r="219" spans="1:11" x14ac:dyDescent="0.2">
      <c r="A219" s="141" t="s">
        <v>1435</v>
      </c>
      <c r="B219" s="143" t="s">
        <v>218</v>
      </c>
      <c r="C219" s="141" t="s">
        <v>67</v>
      </c>
      <c r="D219" s="143" t="s">
        <v>704</v>
      </c>
      <c r="E219" s="141" t="s">
        <v>949</v>
      </c>
      <c r="F219" s="221" t="s">
        <v>550</v>
      </c>
      <c r="G219" s="144">
        <v>4</v>
      </c>
      <c r="H219" s="145">
        <v>6</v>
      </c>
      <c r="I219" s="146">
        <f t="shared" si="33"/>
        <v>1.7232599597963454E-4</v>
      </c>
      <c r="J219" s="146">
        <f t="shared" si="36"/>
        <v>3.2310177705977385E-3</v>
      </c>
      <c r="K219" s="146">
        <f t="shared" si="35"/>
        <v>4.7694753577106518E-4</v>
      </c>
    </row>
    <row r="220" spans="1:11" x14ac:dyDescent="0.2">
      <c r="A220" s="141" t="s">
        <v>1435</v>
      </c>
      <c r="B220" s="143" t="s">
        <v>218</v>
      </c>
      <c r="C220" s="141" t="s">
        <v>67</v>
      </c>
      <c r="D220" s="143" t="s">
        <v>704</v>
      </c>
      <c r="E220" s="141" t="s">
        <v>1553</v>
      </c>
      <c r="F220" s="221" t="s">
        <v>573</v>
      </c>
      <c r="G220" s="144">
        <v>5</v>
      </c>
      <c r="H220" s="145">
        <v>15</v>
      </c>
      <c r="I220" s="146">
        <f t="shared" si="33"/>
        <v>4.3081498994908631E-4</v>
      </c>
      <c r="J220" s="146">
        <f t="shared" si="36"/>
        <v>8.0775444264943458E-3</v>
      </c>
      <c r="K220" s="146">
        <f t="shared" si="35"/>
        <v>1.1923688394276629E-3</v>
      </c>
    </row>
    <row r="221" spans="1:11" x14ac:dyDescent="0.2">
      <c r="A221" s="157"/>
      <c r="B221" s="275"/>
      <c r="C221" s="157"/>
      <c r="D221" s="715" t="s">
        <v>1466</v>
      </c>
      <c r="E221" s="715"/>
      <c r="F221" s="715"/>
      <c r="G221" s="163">
        <f>SUM(G216:G220)</f>
        <v>18</v>
      </c>
      <c r="H221" s="163">
        <f>SUM(H216:H220)</f>
        <v>48</v>
      </c>
      <c r="I221" s="171">
        <f t="shared" si="33"/>
        <v>1.3786079678370763E-3</v>
      </c>
      <c r="J221" s="158">
        <f t="shared" si="36"/>
        <v>2.5848142164781908E-2</v>
      </c>
      <c r="K221" s="158">
        <f t="shared" si="35"/>
        <v>3.8155802861685214E-3</v>
      </c>
    </row>
    <row r="222" spans="1:11" x14ac:dyDescent="0.2">
      <c r="A222" s="295" t="s">
        <v>1435</v>
      </c>
      <c r="B222" s="294" t="s">
        <v>218</v>
      </c>
      <c r="C222" s="295" t="s">
        <v>67</v>
      </c>
      <c r="D222" s="294" t="s">
        <v>706</v>
      </c>
      <c r="E222" s="295" t="s">
        <v>950</v>
      </c>
      <c r="F222" s="296" t="s">
        <v>830</v>
      </c>
      <c r="G222" s="297">
        <v>3</v>
      </c>
      <c r="H222" s="298">
        <v>9</v>
      </c>
      <c r="I222" s="299">
        <f t="shared" si="33"/>
        <v>2.584889939694518E-4</v>
      </c>
      <c r="J222" s="299">
        <f t="shared" si="36"/>
        <v>4.8465266558966073E-3</v>
      </c>
      <c r="K222" s="299">
        <f t="shared" si="35"/>
        <v>7.1542130365659774E-4</v>
      </c>
    </row>
    <row r="223" spans="1:11" x14ac:dyDescent="0.2">
      <c r="A223" s="542"/>
      <c r="B223" s="543"/>
      <c r="C223" s="542"/>
      <c r="D223" s="716" t="s">
        <v>1468</v>
      </c>
      <c r="E223" s="716"/>
      <c r="F223" s="716"/>
      <c r="G223" s="544">
        <f>G222</f>
        <v>3</v>
      </c>
      <c r="H223" s="546">
        <f>H222</f>
        <v>9</v>
      </c>
      <c r="I223" s="541">
        <f t="shared" si="33"/>
        <v>2.584889939694518E-4</v>
      </c>
      <c r="J223" s="545">
        <f t="shared" si="36"/>
        <v>4.8465266558966073E-3</v>
      </c>
      <c r="K223" s="545">
        <f t="shared" si="35"/>
        <v>7.1542130365659774E-4</v>
      </c>
    </row>
    <row r="224" spans="1:11" x14ac:dyDescent="0.2">
      <c r="A224" s="342" t="s">
        <v>1435</v>
      </c>
      <c r="B224" s="342" t="s">
        <v>218</v>
      </c>
      <c r="C224" s="342" t="s">
        <v>67</v>
      </c>
      <c r="D224" s="342" t="s">
        <v>713</v>
      </c>
      <c r="E224" s="342" t="s">
        <v>1554</v>
      </c>
      <c r="F224" s="342" t="s">
        <v>875</v>
      </c>
      <c r="G224" s="343">
        <v>3</v>
      </c>
      <c r="H224" s="343">
        <v>9</v>
      </c>
      <c r="I224" s="170">
        <f t="shared" si="33"/>
        <v>2.584889939694518E-4</v>
      </c>
      <c r="J224" s="170">
        <f t="shared" si="36"/>
        <v>4.8465266558966073E-3</v>
      </c>
      <c r="K224" s="170">
        <f t="shared" si="35"/>
        <v>7.1542130365659774E-4</v>
      </c>
    </row>
    <row r="225" spans="1:11" x14ac:dyDescent="0.2">
      <c r="A225" s="141" t="s">
        <v>1435</v>
      </c>
      <c r="B225" s="143" t="s">
        <v>218</v>
      </c>
      <c r="C225" s="141" t="s">
        <v>67</v>
      </c>
      <c r="D225" s="143" t="s">
        <v>713</v>
      </c>
      <c r="E225" s="141" t="s">
        <v>951</v>
      </c>
      <c r="F225" s="221" t="s">
        <v>877</v>
      </c>
      <c r="G225" s="144">
        <v>1</v>
      </c>
      <c r="H225" s="145">
        <v>3</v>
      </c>
      <c r="I225" s="146">
        <f t="shared" si="33"/>
        <v>8.6162997989817271E-5</v>
      </c>
      <c r="J225" s="146">
        <f t="shared" si="36"/>
        <v>1.6155088852988692E-3</v>
      </c>
      <c r="K225" s="146">
        <f t="shared" si="35"/>
        <v>2.3847376788553259E-4</v>
      </c>
    </row>
    <row r="226" spans="1:11" hidden="1" x14ac:dyDescent="0.2">
      <c r="A226" s="141"/>
      <c r="B226" s="143"/>
      <c r="C226" s="141"/>
      <c r="D226" s="143"/>
      <c r="E226" s="141"/>
      <c r="F226" s="221"/>
      <c r="G226" s="144"/>
      <c r="H226" s="145"/>
      <c r="I226" s="146"/>
      <c r="J226" s="146"/>
      <c r="K226" s="146"/>
    </row>
    <row r="227" spans="1:11" hidden="1" x14ac:dyDescent="0.2">
      <c r="A227" s="295"/>
      <c r="B227" s="294"/>
      <c r="C227" s="295"/>
      <c r="D227" s="294"/>
      <c r="E227" s="295"/>
      <c r="F227" s="296"/>
      <c r="G227" s="297"/>
      <c r="H227" s="298"/>
      <c r="I227" s="299"/>
      <c r="J227" s="299"/>
      <c r="K227" s="299"/>
    </row>
    <row r="228" spans="1:11" x14ac:dyDescent="0.2">
      <c r="A228" s="542"/>
      <c r="B228" s="543"/>
      <c r="C228" s="542"/>
      <c r="D228" s="716" t="s">
        <v>1475</v>
      </c>
      <c r="E228" s="716"/>
      <c r="F228" s="716"/>
      <c r="G228" s="544">
        <f>SUM(G224:G227)</f>
        <v>4</v>
      </c>
      <c r="H228" s="544">
        <f>SUM(H224:H227)</f>
        <v>12</v>
      </c>
      <c r="I228" s="541">
        <f>H228/$H$633</f>
        <v>3.4465199195926908E-4</v>
      </c>
      <c r="J228" s="545">
        <f>H228/$H$635</f>
        <v>6.462035541195477E-3</v>
      </c>
      <c r="K228" s="545">
        <f>H228/$H$247</f>
        <v>9.5389507154213036E-4</v>
      </c>
    </row>
    <row r="229" spans="1:11" x14ac:dyDescent="0.2">
      <c r="A229" s="334" t="s">
        <v>1435</v>
      </c>
      <c r="B229" s="326" t="s">
        <v>218</v>
      </c>
      <c r="C229" s="334" t="s">
        <v>67</v>
      </c>
      <c r="D229" s="326" t="s">
        <v>721</v>
      </c>
      <c r="E229" s="334" t="s">
        <v>952</v>
      </c>
      <c r="F229" s="335" t="s">
        <v>953</v>
      </c>
      <c r="G229" s="336">
        <v>9</v>
      </c>
      <c r="H229" s="337">
        <v>27</v>
      </c>
      <c r="I229" s="170">
        <f>H229/$H$633</f>
        <v>7.7546698190835545E-4</v>
      </c>
      <c r="J229" s="170">
        <f>H229/$H$635</f>
        <v>1.4539579967689823E-2</v>
      </c>
      <c r="K229" s="170">
        <f>H229/$H$247</f>
        <v>2.1462639109697933E-3</v>
      </c>
    </row>
    <row r="230" spans="1:11" x14ac:dyDescent="0.2">
      <c r="A230" s="141" t="s">
        <v>1435</v>
      </c>
      <c r="B230" s="143" t="s">
        <v>218</v>
      </c>
      <c r="C230" s="141" t="s">
        <v>67</v>
      </c>
      <c r="D230" s="143" t="s">
        <v>721</v>
      </c>
      <c r="E230" s="141" t="s">
        <v>1555</v>
      </c>
      <c r="F230" s="221" t="s">
        <v>1556</v>
      </c>
      <c r="G230" s="144">
        <v>6</v>
      </c>
      <c r="H230" s="145">
        <v>18</v>
      </c>
      <c r="I230" s="146">
        <f>H230/$H$633</f>
        <v>5.169779879389036E-4</v>
      </c>
      <c r="J230" s="146">
        <f>H230/$H$635</f>
        <v>9.6930533117932146E-3</v>
      </c>
      <c r="K230" s="146">
        <f>H230/$H$247</f>
        <v>1.4308426073131955E-3</v>
      </c>
    </row>
    <row r="231" spans="1:11" x14ac:dyDescent="0.2">
      <c r="A231" s="141" t="s">
        <v>1435</v>
      </c>
      <c r="B231" s="143" t="s">
        <v>218</v>
      </c>
      <c r="C231" s="141" t="s">
        <v>67</v>
      </c>
      <c r="D231" s="143" t="s">
        <v>721</v>
      </c>
      <c r="E231" s="141" t="s">
        <v>1557</v>
      </c>
      <c r="F231" s="221" t="s">
        <v>1558</v>
      </c>
      <c r="G231" s="144">
        <v>7</v>
      </c>
      <c r="H231" s="145">
        <v>21</v>
      </c>
      <c r="I231" s="146">
        <f t="shared" ref="I231:I232" si="37">H231/$H$633</f>
        <v>6.0314098592872088E-4</v>
      </c>
      <c r="J231" s="146">
        <f t="shared" ref="J231:J232" si="38">H231/$H$635</f>
        <v>1.1308562197092083E-2</v>
      </c>
      <c r="K231" s="146">
        <f t="shared" ref="K231:K232" si="39">H231/$H$247</f>
        <v>1.6693163751987281E-3</v>
      </c>
    </row>
    <row r="232" spans="1:11" x14ac:dyDescent="0.2">
      <c r="A232" s="141" t="s">
        <v>1435</v>
      </c>
      <c r="B232" s="143" t="s">
        <v>218</v>
      </c>
      <c r="C232" s="141" t="s">
        <v>67</v>
      </c>
      <c r="D232" s="143" t="s">
        <v>721</v>
      </c>
      <c r="E232" s="141" t="s">
        <v>1559</v>
      </c>
      <c r="F232" s="221" t="s">
        <v>1560</v>
      </c>
      <c r="G232" s="144">
        <v>3</v>
      </c>
      <c r="H232" s="145">
        <v>9</v>
      </c>
      <c r="I232" s="146">
        <f t="shared" si="37"/>
        <v>2.584889939694518E-4</v>
      </c>
      <c r="J232" s="146">
        <f t="shared" si="38"/>
        <v>4.8465266558966073E-3</v>
      </c>
      <c r="K232" s="146">
        <f t="shared" si="39"/>
        <v>7.1542130365659774E-4</v>
      </c>
    </row>
    <row r="233" spans="1:11" x14ac:dyDescent="0.2">
      <c r="A233" s="141" t="s">
        <v>1435</v>
      </c>
      <c r="B233" s="143" t="s">
        <v>218</v>
      </c>
      <c r="C233" s="141" t="s">
        <v>67</v>
      </c>
      <c r="D233" s="143" t="s">
        <v>721</v>
      </c>
      <c r="E233" s="141" t="s">
        <v>1561</v>
      </c>
      <c r="F233" s="221" t="s">
        <v>1562</v>
      </c>
      <c r="G233" s="144">
        <v>2</v>
      </c>
      <c r="H233" s="145">
        <v>6</v>
      </c>
      <c r="I233" s="146">
        <f t="shared" ref="I233:I241" si="40">H233/$H$633</f>
        <v>1.7232599597963454E-4</v>
      </c>
      <c r="J233" s="146">
        <f t="shared" ref="J233:J241" si="41">H233/$H$635</f>
        <v>3.2310177705977385E-3</v>
      </c>
      <c r="K233" s="146">
        <f t="shared" ref="K233:K241" si="42">H233/$H$247</f>
        <v>4.7694753577106518E-4</v>
      </c>
    </row>
    <row r="234" spans="1:11" x14ac:dyDescent="0.2">
      <c r="A234" s="141" t="s">
        <v>1435</v>
      </c>
      <c r="B234" s="143" t="s">
        <v>218</v>
      </c>
      <c r="C234" s="141" t="s">
        <v>67</v>
      </c>
      <c r="D234" s="143" t="s">
        <v>721</v>
      </c>
      <c r="E234" s="141" t="s">
        <v>954</v>
      </c>
      <c r="F234" s="221" t="s">
        <v>955</v>
      </c>
      <c r="G234" s="144">
        <v>5</v>
      </c>
      <c r="H234" s="145">
        <v>15</v>
      </c>
      <c r="I234" s="146">
        <f t="shared" si="40"/>
        <v>4.3081498994908631E-4</v>
      </c>
      <c r="J234" s="146">
        <f t="shared" si="41"/>
        <v>8.0775444264943458E-3</v>
      </c>
      <c r="K234" s="146">
        <f t="shared" si="42"/>
        <v>1.1923688394276629E-3</v>
      </c>
    </row>
    <row r="235" spans="1:11" x14ac:dyDescent="0.2">
      <c r="A235" s="141" t="s">
        <v>1435</v>
      </c>
      <c r="B235" s="143" t="s">
        <v>218</v>
      </c>
      <c r="C235" s="141" t="s">
        <v>67</v>
      </c>
      <c r="D235" s="143" t="s">
        <v>721</v>
      </c>
      <c r="E235" s="141" t="s">
        <v>956</v>
      </c>
      <c r="F235" s="221" t="s">
        <v>550</v>
      </c>
      <c r="G235" s="144">
        <v>4</v>
      </c>
      <c r="H235" s="145">
        <v>4</v>
      </c>
      <c r="I235" s="146">
        <f t="shared" si="40"/>
        <v>1.1488399731975635E-4</v>
      </c>
      <c r="J235" s="146">
        <f t="shared" si="41"/>
        <v>2.1540118470651588E-3</v>
      </c>
      <c r="K235" s="146">
        <f t="shared" si="42"/>
        <v>3.1796502384737679E-4</v>
      </c>
    </row>
    <row r="236" spans="1:11" x14ac:dyDescent="0.2">
      <c r="A236" s="157"/>
      <c r="B236" s="275"/>
      <c r="C236" s="157"/>
      <c r="D236" s="715" t="s">
        <v>1483</v>
      </c>
      <c r="E236" s="715"/>
      <c r="F236" s="715"/>
      <c r="G236" s="163">
        <f>SUM(G229:G235)</f>
        <v>36</v>
      </c>
      <c r="H236" s="163">
        <f>SUM(H229:H235)</f>
        <v>100</v>
      </c>
      <c r="I236" s="171">
        <f t="shared" si="40"/>
        <v>2.872099932993909E-3</v>
      </c>
      <c r="J236" s="158">
        <f t="shared" si="41"/>
        <v>5.3850296176628974E-2</v>
      </c>
      <c r="K236" s="158">
        <f t="shared" si="42"/>
        <v>7.9491255961844191E-3</v>
      </c>
    </row>
    <row r="237" spans="1:11" x14ac:dyDescent="0.2">
      <c r="A237" s="141" t="s">
        <v>1435</v>
      </c>
      <c r="B237" s="143" t="s">
        <v>218</v>
      </c>
      <c r="C237" s="141" t="s">
        <v>67</v>
      </c>
      <c r="D237" s="143" t="s">
        <v>717</v>
      </c>
      <c r="E237" s="141" t="s">
        <v>1563</v>
      </c>
      <c r="F237" s="221" t="s">
        <v>1564</v>
      </c>
      <c r="G237" s="144">
        <v>6</v>
      </c>
      <c r="H237" s="145">
        <v>18</v>
      </c>
      <c r="I237" s="146">
        <f t="shared" si="40"/>
        <v>5.169779879389036E-4</v>
      </c>
      <c r="J237" s="146">
        <f t="shared" si="41"/>
        <v>9.6930533117932146E-3</v>
      </c>
      <c r="K237" s="146">
        <f t="shared" si="42"/>
        <v>1.4308426073131955E-3</v>
      </c>
    </row>
    <row r="238" spans="1:11" ht="24" x14ac:dyDescent="0.2">
      <c r="A238" s="141" t="s">
        <v>1435</v>
      </c>
      <c r="B238" s="143" t="s">
        <v>218</v>
      </c>
      <c r="C238" s="141" t="s">
        <v>67</v>
      </c>
      <c r="D238" s="143" t="s">
        <v>717</v>
      </c>
      <c r="E238" s="141" t="s">
        <v>1565</v>
      </c>
      <c r="F238" s="221" t="s">
        <v>1566</v>
      </c>
      <c r="G238" s="144">
        <v>9</v>
      </c>
      <c r="H238" s="145">
        <v>27</v>
      </c>
      <c r="I238" s="146">
        <f t="shared" si="40"/>
        <v>7.7546698190835545E-4</v>
      </c>
      <c r="J238" s="146">
        <f t="shared" si="41"/>
        <v>1.4539579967689823E-2</v>
      </c>
      <c r="K238" s="146">
        <f t="shared" si="42"/>
        <v>2.1462639109697933E-3</v>
      </c>
    </row>
    <row r="239" spans="1:11" ht="24" x14ac:dyDescent="0.2">
      <c r="A239" s="141" t="s">
        <v>1435</v>
      </c>
      <c r="B239" s="143" t="s">
        <v>218</v>
      </c>
      <c r="C239" s="141" t="s">
        <v>67</v>
      </c>
      <c r="D239" s="143" t="s">
        <v>717</v>
      </c>
      <c r="E239" s="141" t="s">
        <v>1567</v>
      </c>
      <c r="F239" s="221" t="s">
        <v>1568</v>
      </c>
      <c r="G239" s="144">
        <v>10</v>
      </c>
      <c r="H239" s="145">
        <v>30</v>
      </c>
      <c r="I239" s="146">
        <f t="shared" si="40"/>
        <v>8.6162997989817263E-4</v>
      </c>
      <c r="J239" s="146">
        <f t="shared" si="41"/>
        <v>1.6155088852988692E-2</v>
      </c>
      <c r="K239" s="146">
        <f t="shared" si="42"/>
        <v>2.3847376788553257E-3</v>
      </c>
    </row>
    <row r="240" spans="1:11" ht="24" x14ac:dyDescent="0.2">
      <c r="A240" s="141" t="s">
        <v>1435</v>
      </c>
      <c r="B240" s="143" t="s">
        <v>218</v>
      </c>
      <c r="C240" s="141" t="s">
        <v>67</v>
      </c>
      <c r="D240" s="143" t="s">
        <v>717</v>
      </c>
      <c r="E240" s="141" t="s">
        <v>1569</v>
      </c>
      <c r="F240" s="221" t="s">
        <v>1570</v>
      </c>
      <c r="G240" s="144">
        <v>10</v>
      </c>
      <c r="H240" s="145">
        <v>10</v>
      </c>
      <c r="I240" s="146">
        <f t="shared" si="40"/>
        <v>2.8720999329939089E-4</v>
      </c>
      <c r="J240" s="146">
        <f t="shared" si="41"/>
        <v>5.3850296176628969E-3</v>
      </c>
      <c r="K240" s="146">
        <f t="shared" si="42"/>
        <v>7.9491255961844202E-4</v>
      </c>
    </row>
    <row r="241" spans="1:11" x14ac:dyDescent="0.2">
      <c r="A241" s="141" t="s">
        <v>1435</v>
      </c>
      <c r="B241" s="143" t="s">
        <v>218</v>
      </c>
      <c r="C241" s="141" t="s">
        <v>67</v>
      </c>
      <c r="D241" s="143" t="s">
        <v>717</v>
      </c>
      <c r="E241" s="141" t="s">
        <v>1571</v>
      </c>
      <c r="F241" s="221" t="s">
        <v>1572</v>
      </c>
      <c r="G241" s="144">
        <v>3</v>
      </c>
      <c r="H241" s="145">
        <v>7</v>
      </c>
      <c r="I241" s="146">
        <f t="shared" si="40"/>
        <v>2.0104699530957361E-4</v>
      </c>
      <c r="J241" s="146">
        <f t="shared" si="41"/>
        <v>3.7695207323640281E-3</v>
      </c>
      <c r="K241" s="146">
        <f t="shared" si="42"/>
        <v>5.564387917329094E-4</v>
      </c>
    </row>
    <row r="242" spans="1:11" hidden="1" x14ac:dyDescent="0.2">
      <c r="A242" s="141"/>
      <c r="B242" s="143"/>
      <c r="C242" s="141"/>
      <c r="D242" s="143"/>
      <c r="E242" s="141"/>
      <c r="F242" s="221"/>
      <c r="G242" s="144"/>
      <c r="H242" s="145"/>
      <c r="I242" s="146"/>
      <c r="J242" s="146"/>
      <c r="K242" s="146"/>
    </row>
    <row r="243" spans="1:11" hidden="1" x14ac:dyDescent="0.2">
      <c r="A243" s="141"/>
      <c r="B243" s="143"/>
      <c r="C243" s="141"/>
      <c r="D243" s="143"/>
      <c r="E243" s="141"/>
      <c r="F243" s="221"/>
      <c r="G243" s="144"/>
      <c r="H243" s="145"/>
      <c r="I243" s="146"/>
      <c r="J243" s="146"/>
      <c r="K243" s="146"/>
    </row>
    <row r="244" spans="1:11" hidden="1" x14ac:dyDescent="0.2">
      <c r="A244" s="295"/>
      <c r="B244" s="294"/>
      <c r="C244" s="295"/>
      <c r="D244" s="294"/>
      <c r="E244" s="295"/>
      <c r="F244" s="296"/>
      <c r="G244" s="297"/>
      <c r="H244" s="298"/>
      <c r="I244" s="299"/>
      <c r="J244" s="299"/>
      <c r="K244" s="299"/>
    </row>
    <row r="245" spans="1:11" x14ac:dyDescent="0.2">
      <c r="A245" s="542"/>
      <c r="B245" s="543"/>
      <c r="C245" s="542"/>
      <c r="D245" s="716" t="s">
        <v>1479</v>
      </c>
      <c r="E245" s="716"/>
      <c r="F245" s="716"/>
      <c r="G245" s="544">
        <f>SUM(G237:G244)</f>
        <v>38</v>
      </c>
      <c r="H245" s="544">
        <f>SUM(H237:H244)</f>
        <v>92</v>
      </c>
      <c r="I245" s="541">
        <f t="shared" ref="I245:I289" si="43">H245/$H$633</f>
        <v>2.6423319383543963E-3</v>
      </c>
      <c r="J245" s="545">
        <f>H245/$H$635</f>
        <v>4.954227248249865E-2</v>
      </c>
      <c r="K245" s="545">
        <f>H245/$H$247</f>
        <v>7.3131955484896658E-3</v>
      </c>
    </row>
    <row r="246" spans="1:11" x14ac:dyDescent="0.2">
      <c r="A246" s="159"/>
      <c r="B246" s="276"/>
      <c r="C246" s="711" t="s">
        <v>250</v>
      </c>
      <c r="D246" s="711"/>
      <c r="E246" s="711"/>
      <c r="F246" s="711"/>
      <c r="G246" s="165">
        <f>G215+G221+G228+G236+G245+G223</f>
        <v>99</v>
      </c>
      <c r="H246" s="165">
        <f>H215+H221+H228+H236+H245+H223</f>
        <v>261</v>
      </c>
      <c r="I246" s="160">
        <f t="shared" si="43"/>
        <v>7.4961808251141019E-3</v>
      </c>
      <c r="J246" s="160">
        <f>H246/$H$635</f>
        <v>0.14054927302100162</v>
      </c>
      <c r="K246" s="160">
        <f>H246/$H$247</f>
        <v>2.0747217806041336E-2</v>
      </c>
    </row>
    <row r="247" spans="1:11" x14ac:dyDescent="0.2">
      <c r="A247" s="161"/>
      <c r="B247" s="712" t="s">
        <v>284</v>
      </c>
      <c r="C247" s="712"/>
      <c r="D247" s="712"/>
      <c r="E247" s="712"/>
      <c r="F247" s="712"/>
      <c r="G247" s="166">
        <f>G211+G246</f>
        <v>4135</v>
      </c>
      <c r="H247" s="166">
        <f>H211+H246</f>
        <v>12580</v>
      </c>
      <c r="I247" s="169">
        <f t="shared" si="43"/>
        <v>0.36131017157063372</v>
      </c>
      <c r="J247" s="162"/>
      <c r="K247" s="162"/>
    </row>
    <row r="248" spans="1:11" x14ac:dyDescent="0.2">
      <c r="A248" s="141" t="s">
        <v>1435</v>
      </c>
      <c r="B248" s="143" t="s">
        <v>222</v>
      </c>
      <c r="C248" s="141" t="s">
        <v>68</v>
      </c>
      <c r="D248" s="141" t="s">
        <v>722</v>
      </c>
      <c r="E248" s="141" t="s">
        <v>957</v>
      </c>
      <c r="F248" s="221" t="s">
        <v>958</v>
      </c>
      <c r="G248" s="144">
        <v>18</v>
      </c>
      <c r="H248" s="145">
        <v>54</v>
      </c>
      <c r="I248" s="146">
        <f t="shared" si="43"/>
        <v>1.5509339638167109E-3</v>
      </c>
      <c r="J248" s="146">
        <f t="shared" ref="J248:J257" si="44">H248/$H$634</f>
        <v>1.638313229106273E-3</v>
      </c>
      <c r="K248" s="146">
        <f t="shared" ref="K248:K257" si="45">H248/$H$384</f>
        <v>6.1615700593336377E-3</v>
      </c>
    </row>
    <row r="249" spans="1:11" x14ac:dyDescent="0.2">
      <c r="A249" s="141" t="s">
        <v>1435</v>
      </c>
      <c r="B249" s="143" t="s">
        <v>222</v>
      </c>
      <c r="C249" s="141" t="s">
        <v>68</v>
      </c>
      <c r="D249" s="141" t="s">
        <v>722</v>
      </c>
      <c r="E249" s="141" t="s">
        <v>959</v>
      </c>
      <c r="F249" s="221" t="s">
        <v>960</v>
      </c>
      <c r="G249" s="144">
        <v>18</v>
      </c>
      <c r="H249" s="145">
        <v>18</v>
      </c>
      <c r="I249" s="146">
        <f t="shared" si="43"/>
        <v>5.169779879389036E-4</v>
      </c>
      <c r="J249" s="146">
        <f t="shared" si="44"/>
        <v>5.4610440970209099E-4</v>
      </c>
      <c r="K249" s="146">
        <f t="shared" si="45"/>
        <v>2.0538566864445459E-3</v>
      </c>
    </row>
    <row r="250" spans="1:11" x14ac:dyDescent="0.2">
      <c r="A250" s="141" t="s">
        <v>1435</v>
      </c>
      <c r="B250" s="143" t="s">
        <v>222</v>
      </c>
      <c r="C250" s="141" t="s">
        <v>68</v>
      </c>
      <c r="D250" s="141" t="s">
        <v>722</v>
      </c>
      <c r="E250" s="141" t="s">
        <v>961</v>
      </c>
      <c r="F250" s="221" t="s">
        <v>962</v>
      </c>
      <c r="G250" s="144">
        <v>38</v>
      </c>
      <c r="H250" s="145">
        <v>114</v>
      </c>
      <c r="I250" s="146">
        <f t="shared" si="43"/>
        <v>3.2741939236130562E-3</v>
      </c>
      <c r="J250" s="146">
        <f t="shared" si="44"/>
        <v>3.4586612614465762E-3</v>
      </c>
      <c r="K250" s="146">
        <f t="shared" si="45"/>
        <v>1.300775901414879E-2</v>
      </c>
    </row>
    <row r="251" spans="1:11" x14ac:dyDescent="0.2">
      <c r="A251" s="141" t="s">
        <v>1435</v>
      </c>
      <c r="B251" s="143" t="s">
        <v>222</v>
      </c>
      <c r="C251" s="141" t="s">
        <v>68</v>
      </c>
      <c r="D251" s="141" t="s">
        <v>722</v>
      </c>
      <c r="E251" s="141" t="s">
        <v>963</v>
      </c>
      <c r="F251" s="221" t="s">
        <v>964</v>
      </c>
      <c r="G251" s="144">
        <v>39</v>
      </c>
      <c r="H251" s="145">
        <v>39</v>
      </c>
      <c r="I251" s="146">
        <f t="shared" si="43"/>
        <v>1.1201189738676244E-3</v>
      </c>
      <c r="J251" s="146">
        <f t="shared" si="44"/>
        <v>1.1832262210211971E-3</v>
      </c>
      <c r="K251" s="146">
        <f t="shared" si="45"/>
        <v>4.4500228206298493E-3</v>
      </c>
    </row>
    <row r="252" spans="1:11" ht="24" x14ac:dyDescent="0.2">
      <c r="A252" s="141" t="s">
        <v>1435</v>
      </c>
      <c r="B252" s="143" t="s">
        <v>222</v>
      </c>
      <c r="C252" s="141" t="s">
        <v>68</v>
      </c>
      <c r="D252" s="141" t="s">
        <v>722</v>
      </c>
      <c r="E252" s="141" t="s">
        <v>965</v>
      </c>
      <c r="F252" s="221" t="s">
        <v>966</v>
      </c>
      <c r="G252" s="144">
        <v>11</v>
      </c>
      <c r="H252" s="145">
        <v>33</v>
      </c>
      <c r="I252" s="146">
        <f t="shared" si="43"/>
        <v>9.4779297788798991E-4</v>
      </c>
      <c r="J252" s="146">
        <f t="shared" si="44"/>
        <v>1.0011914177871669E-3</v>
      </c>
      <c r="K252" s="146">
        <f t="shared" si="45"/>
        <v>3.7654039251483343E-3</v>
      </c>
    </row>
    <row r="253" spans="1:11" ht="24" x14ac:dyDescent="0.2">
      <c r="A253" s="141" t="s">
        <v>1435</v>
      </c>
      <c r="B253" s="143" t="s">
        <v>222</v>
      </c>
      <c r="C253" s="141" t="s">
        <v>68</v>
      </c>
      <c r="D253" s="141" t="s">
        <v>722</v>
      </c>
      <c r="E253" s="141" t="s">
        <v>967</v>
      </c>
      <c r="F253" s="221" t="s">
        <v>968</v>
      </c>
      <c r="G253" s="144">
        <v>11</v>
      </c>
      <c r="H253" s="145">
        <v>11</v>
      </c>
      <c r="I253" s="146">
        <f t="shared" si="43"/>
        <v>3.1593099262932999E-4</v>
      </c>
      <c r="J253" s="146">
        <f t="shared" si="44"/>
        <v>3.3373047259572229E-4</v>
      </c>
      <c r="K253" s="146">
        <f t="shared" si="45"/>
        <v>1.2551346417161114E-3</v>
      </c>
    </row>
    <row r="254" spans="1:11" x14ac:dyDescent="0.2">
      <c r="A254" s="141" t="s">
        <v>1435</v>
      </c>
      <c r="B254" s="143" t="s">
        <v>222</v>
      </c>
      <c r="C254" s="141" t="s">
        <v>68</v>
      </c>
      <c r="D254" s="141" t="s">
        <v>722</v>
      </c>
      <c r="E254" s="141" t="s">
        <v>969</v>
      </c>
      <c r="F254" s="221" t="s">
        <v>551</v>
      </c>
      <c r="G254" s="144">
        <v>44</v>
      </c>
      <c r="H254" s="145">
        <v>132</v>
      </c>
      <c r="I254" s="146">
        <f t="shared" si="43"/>
        <v>3.7911719115519596E-3</v>
      </c>
      <c r="J254" s="146">
        <f t="shared" si="44"/>
        <v>4.0047656711486674E-3</v>
      </c>
      <c r="K254" s="146">
        <f t="shared" si="45"/>
        <v>1.5061615700593337E-2</v>
      </c>
    </row>
    <row r="255" spans="1:11" x14ac:dyDescent="0.2">
      <c r="A255" s="141" t="s">
        <v>1435</v>
      </c>
      <c r="B255" s="143" t="s">
        <v>222</v>
      </c>
      <c r="C255" s="141" t="s">
        <v>68</v>
      </c>
      <c r="D255" s="141" t="s">
        <v>722</v>
      </c>
      <c r="E255" s="141" t="s">
        <v>970</v>
      </c>
      <c r="F255" s="221" t="s">
        <v>971</v>
      </c>
      <c r="G255" s="144">
        <v>2</v>
      </c>
      <c r="H255" s="145">
        <v>6</v>
      </c>
      <c r="I255" s="146">
        <f t="shared" si="43"/>
        <v>1.7232599597963454E-4</v>
      </c>
      <c r="J255" s="146">
        <f t="shared" si="44"/>
        <v>1.8203480323403034E-4</v>
      </c>
      <c r="K255" s="146">
        <f t="shared" si="45"/>
        <v>6.8461889548151534E-4</v>
      </c>
    </row>
    <row r="256" spans="1:11" x14ac:dyDescent="0.2">
      <c r="A256" s="141" t="s">
        <v>1435</v>
      </c>
      <c r="B256" s="143" t="s">
        <v>222</v>
      </c>
      <c r="C256" s="141" t="s">
        <v>68</v>
      </c>
      <c r="D256" s="141" t="s">
        <v>722</v>
      </c>
      <c r="E256" s="141" t="s">
        <v>972</v>
      </c>
      <c r="F256" s="221" t="s">
        <v>973</v>
      </c>
      <c r="G256" s="144">
        <v>2</v>
      </c>
      <c r="H256" s="145">
        <v>2</v>
      </c>
      <c r="I256" s="146">
        <f t="shared" si="43"/>
        <v>5.7441998659878176E-5</v>
      </c>
      <c r="J256" s="146">
        <f t="shared" si="44"/>
        <v>6.0678267744676776E-5</v>
      </c>
      <c r="K256" s="146">
        <f t="shared" si="45"/>
        <v>2.2820629849383843E-4</v>
      </c>
    </row>
    <row r="257" spans="1:11" ht="24" x14ac:dyDescent="0.2">
      <c r="A257" s="141" t="s">
        <v>1435</v>
      </c>
      <c r="B257" s="143" t="s">
        <v>222</v>
      </c>
      <c r="C257" s="141" t="s">
        <v>68</v>
      </c>
      <c r="D257" s="141" t="s">
        <v>722</v>
      </c>
      <c r="E257" s="141" t="s">
        <v>1573</v>
      </c>
      <c r="F257" s="221" t="s">
        <v>1574</v>
      </c>
      <c r="G257" s="144">
        <v>5</v>
      </c>
      <c r="H257" s="145">
        <v>15</v>
      </c>
      <c r="I257" s="146">
        <f t="shared" si="43"/>
        <v>4.3081498994908631E-4</v>
      </c>
      <c r="J257" s="146">
        <f t="shared" si="44"/>
        <v>4.5508700808507586E-4</v>
      </c>
      <c r="K257" s="146">
        <f t="shared" si="45"/>
        <v>1.7115472387037882E-3</v>
      </c>
    </row>
    <row r="258" spans="1:11" ht="24" x14ac:dyDescent="0.2">
      <c r="A258" s="141" t="s">
        <v>1435</v>
      </c>
      <c r="B258" s="143" t="s">
        <v>222</v>
      </c>
      <c r="C258" s="141" t="s">
        <v>68</v>
      </c>
      <c r="D258" s="141" t="s">
        <v>722</v>
      </c>
      <c r="E258" s="141" t="s">
        <v>1575</v>
      </c>
      <c r="F258" s="221" t="s">
        <v>1576</v>
      </c>
      <c r="G258" s="144">
        <v>5</v>
      </c>
      <c r="H258" s="145">
        <v>5</v>
      </c>
      <c r="I258" s="146">
        <f t="shared" si="43"/>
        <v>1.4360499664969545E-4</v>
      </c>
      <c r="J258" s="146">
        <f t="shared" ref="J258:J268" si="46">H259/$H$634</f>
        <v>1.092208819404182E-3</v>
      </c>
      <c r="K258" s="146">
        <f t="shared" ref="K258:K268" si="47">H259/$H$384</f>
        <v>4.1077133728890918E-3</v>
      </c>
    </row>
    <row r="259" spans="1:11" x14ac:dyDescent="0.2">
      <c r="A259" s="141" t="s">
        <v>1435</v>
      </c>
      <c r="B259" s="143" t="s">
        <v>222</v>
      </c>
      <c r="C259" s="141" t="s">
        <v>68</v>
      </c>
      <c r="D259" s="141" t="s">
        <v>722</v>
      </c>
      <c r="E259" s="141" t="s">
        <v>1577</v>
      </c>
      <c r="F259" s="221" t="s">
        <v>1578</v>
      </c>
      <c r="G259" s="144">
        <v>12</v>
      </c>
      <c r="H259" s="145">
        <v>36</v>
      </c>
      <c r="I259" s="146">
        <f t="shared" si="43"/>
        <v>1.0339559758778072E-3</v>
      </c>
      <c r="J259" s="146">
        <f t="shared" si="46"/>
        <v>3.6406960646806068E-4</v>
      </c>
      <c r="K259" s="146">
        <f t="shared" si="47"/>
        <v>1.3692377909630307E-3</v>
      </c>
    </row>
    <row r="260" spans="1:11" x14ac:dyDescent="0.2">
      <c r="A260" s="141" t="s">
        <v>1435</v>
      </c>
      <c r="B260" s="143" t="s">
        <v>222</v>
      </c>
      <c r="C260" s="141" t="s">
        <v>68</v>
      </c>
      <c r="D260" s="141" t="s">
        <v>722</v>
      </c>
      <c r="E260" s="141" t="s">
        <v>1579</v>
      </c>
      <c r="F260" s="221" t="s">
        <v>1580</v>
      </c>
      <c r="G260" s="144">
        <v>12</v>
      </c>
      <c r="H260" s="145">
        <v>12</v>
      </c>
      <c r="I260" s="146">
        <f t="shared" si="43"/>
        <v>3.4465199195926908E-4</v>
      </c>
      <c r="J260" s="146">
        <f t="shared" si="46"/>
        <v>2.7305220485104552E-3</v>
      </c>
      <c r="K260" s="146">
        <f t="shared" si="47"/>
        <v>1.0269283432222729E-2</v>
      </c>
    </row>
    <row r="261" spans="1:11" x14ac:dyDescent="0.2">
      <c r="A261" s="141" t="s">
        <v>1435</v>
      </c>
      <c r="B261" s="143" t="s">
        <v>222</v>
      </c>
      <c r="C261" s="141" t="s">
        <v>68</v>
      </c>
      <c r="D261" s="141" t="s">
        <v>722</v>
      </c>
      <c r="E261" s="141" t="s">
        <v>1581</v>
      </c>
      <c r="F261" s="221" t="s">
        <v>1582</v>
      </c>
      <c r="G261" s="144">
        <v>30</v>
      </c>
      <c r="H261" s="145">
        <v>90</v>
      </c>
      <c r="I261" s="146">
        <f t="shared" si="43"/>
        <v>2.5848899396945179E-3</v>
      </c>
      <c r="J261" s="146">
        <f t="shared" si="46"/>
        <v>8.1915661455313649E-4</v>
      </c>
      <c r="K261" s="146">
        <f t="shared" si="47"/>
        <v>3.0807850296668189E-3</v>
      </c>
    </row>
    <row r="262" spans="1:11" ht="24" x14ac:dyDescent="0.2">
      <c r="A262" s="141" t="s">
        <v>1435</v>
      </c>
      <c r="B262" s="143" t="s">
        <v>222</v>
      </c>
      <c r="C262" s="141" t="s">
        <v>68</v>
      </c>
      <c r="D262" s="141" t="s">
        <v>722</v>
      </c>
      <c r="E262" s="141" t="s">
        <v>974</v>
      </c>
      <c r="F262" s="221" t="s">
        <v>975</v>
      </c>
      <c r="G262" s="144">
        <v>9</v>
      </c>
      <c r="H262" s="145">
        <v>27</v>
      </c>
      <c r="I262" s="146">
        <f t="shared" si="43"/>
        <v>7.7546698190835545E-4</v>
      </c>
      <c r="J262" s="146">
        <f t="shared" si="46"/>
        <v>6.3712181131910623E-4</v>
      </c>
      <c r="K262" s="146">
        <f t="shared" si="47"/>
        <v>2.3961661341853034E-3</v>
      </c>
    </row>
    <row r="263" spans="1:11" x14ac:dyDescent="0.2">
      <c r="A263" s="141" t="s">
        <v>1435</v>
      </c>
      <c r="B263" s="143" t="s">
        <v>222</v>
      </c>
      <c r="C263" s="141" t="s">
        <v>68</v>
      </c>
      <c r="D263" s="141" t="s">
        <v>722</v>
      </c>
      <c r="E263" s="141" t="s">
        <v>976</v>
      </c>
      <c r="F263" s="221" t="s">
        <v>977</v>
      </c>
      <c r="G263" s="144">
        <v>7</v>
      </c>
      <c r="H263" s="145">
        <v>21</v>
      </c>
      <c r="I263" s="146">
        <f t="shared" si="43"/>
        <v>6.0314098592872088E-4</v>
      </c>
      <c r="J263" s="146">
        <f t="shared" si="46"/>
        <v>2.1237393710636873E-4</v>
      </c>
      <c r="K263" s="146">
        <f t="shared" si="47"/>
        <v>7.9872204472843447E-4</v>
      </c>
    </row>
    <row r="264" spans="1:11" x14ac:dyDescent="0.2">
      <c r="A264" s="141" t="s">
        <v>1435</v>
      </c>
      <c r="B264" s="143" t="s">
        <v>222</v>
      </c>
      <c r="C264" s="141" t="s">
        <v>68</v>
      </c>
      <c r="D264" s="141" t="s">
        <v>722</v>
      </c>
      <c r="E264" s="141" t="s">
        <v>978</v>
      </c>
      <c r="F264" s="221" t="s">
        <v>979</v>
      </c>
      <c r="G264" s="144">
        <v>7</v>
      </c>
      <c r="H264" s="145">
        <v>7</v>
      </c>
      <c r="I264" s="146">
        <f t="shared" si="43"/>
        <v>2.0104699530957361E-4</v>
      </c>
      <c r="J264" s="146">
        <f t="shared" si="46"/>
        <v>9.101740161701517E-5</v>
      </c>
      <c r="K264" s="146">
        <f t="shared" si="47"/>
        <v>3.4230944774075767E-4</v>
      </c>
    </row>
    <row r="265" spans="1:11" x14ac:dyDescent="0.2">
      <c r="A265" s="141" t="s">
        <v>1435</v>
      </c>
      <c r="B265" s="143" t="s">
        <v>222</v>
      </c>
      <c r="C265" s="141" t="s">
        <v>68</v>
      </c>
      <c r="D265" s="141" t="s">
        <v>722</v>
      </c>
      <c r="E265" s="141" t="s">
        <v>980</v>
      </c>
      <c r="F265" s="221" t="s">
        <v>981</v>
      </c>
      <c r="G265" s="144">
        <v>3</v>
      </c>
      <c r="H265" s="145">
        <v>3</v>
      </c>
      <c r="I265" s="146">
        <f t="shared" si="43"/>
        <v>8.6162997989817271E-5</v>
      </c>
      <c r="J265" s="146">
        <f t="shared" si="46"/>
        <v>3.6406960646806068E-4</v>
      </c>
      <c r="K265" s="146">
        <f t="shared" si="47"/>
        <v>1.3692377909630307E-3</v>
      </c>
    </row>
    <row r="266" spans="1:11" x14ac:dyDescent="0.2">
      <c r="A266" s="141" t="s">
        <v>1435</v>
      </c>
      <c r="B266" s="143" t="s">
        <v>222</v>
      </c>
      <c r="C266" s="141" t="s">
        <v>68</v>
      </c>
      <c r="D266" s="141" t="s">
        <v>722</v>
      </c>
      <c r="E266" s="141" t="s">
        <v>982</v>
      </c>
      <c r="F266" s="221" t="s">
        <v>552</v>
      </c>
      <c r="G266" s="144">
        <v>4</v>
      </c>
      <c r="H266" s="145">
        <v>12</v>
      </c>
      <c r="I266" s="146">
        <f t="shared" si="43"/>
        <v>3.4465199195926908E-4</v>
      </c>
      <c r="J266" s="146">
        <f t="shared" si="46"/>
        <v>1.092208819404182E-3</v>
      </c>
      <c r="K266" s="146">
        <f t="shared" si="47"/>
        <v>4.1077133728890918E-3</v>
      </c>
    </row>
    <row r="267" spans="1:11" x14ac:dyDescent="0.2">
      <c r="A267" s="141" t="s">
        <v>1435</v>
      </c>
      <c r="B267" s="143" t="s">
        <v>222</v>
      </c>
      <c r="C267" s="141" t="s">
        <v>68</v>
      </c>
      <c r="D267" s="141" t="s">
        <v>722</v>
      </c>
      <c r="E267" s="141" t="s">
        <v>1583</v>
      </c>
      <c r="F267" s="221" t="s">
        <v>1584</v>
      </c>
      <c r="G267" s="144">
        <v>9</v>
      </c>
      <c r="H267" s="145">
        <v>36</v>
      </c>
      <c r="I267" s="146">
        <f t="shared" si="43"/>
        <v>1.0339559758778072E-3</v>
      </c>
      <c r="J267" s="146">
        <f t="shared" si="46"/>
        <v>9.101740161701517E-5</v>
      </c>
      <c r="K267" s="146">
        <f t="shared" si="47"/>
        <v>3.4230944774075767E-4</v>
      </c>
    </row>
    <row r="268" spans="1:11" x14ac:dyDescent="0.2">
      <c r="A268" s="141" t="s">
        <v>1435</v>
      </c>
      <c r="B268" s="143" t="s">
        <v>222</v>
      </c>
      <c r="C268" s="141" t="s">
        <v>68</v>
      </c>
      <c r="D268" s="141" t="s">
        <v>722</v>
      </c>
      <c r="E268" s="141" t="s">
        <v>1585</v>
      </c>
      <c r="F268" s="221" t="s">
        <v>553</v>
      </c>
      <c r="G268" s="144">
        <v>1</v>
      </c>
      <c r="H268" s="145">
        <v>3</v>
      </c>
      <c r="I268" s="146">
        <f t="shared" si="43"/>
        <v>8.6162997989817271E-5</v>
      </c>
      <c r="J268" s="146">
        <f t="shared" si="46"/>
        <v>6.3712181131910623E-4</v>
      </c>
      <c r="K268" s="146">
        <f t="shared" si="47"/>
        <v>2.3961661341853034E-3</v>
      </c>
    </row>
    <row r="269" spans="1:11" x14ac:dyDescent="0.2">
      <c r="A269" s="141" t="s">
        <v>1435</v>
      </c>
      <c r="B269" s="143" t="s">
        <v>222</v>
      </c>
      <c r="C269" s="141" t="s">
        <v>68</v>
      </c>
      <c r="D269" s="141" t="s">
        <v>722</v>
      </c>
      <c r="E269" s="141" t="s">
        <v>983</v>
      </c>
      <c r="F269" s="221" t="s">
        <v>554</v>
      </c>
      <c r="G269" s="144">
        <v>7</v>
      </c>
      <c r="H269" s="145">
        <v>21</v>
      </c>
      <c r="I269" s="146">
        <f t="shared" si="43"/>
        <v>6.0314098592872088E-4</v>
      </c>
      <c r="J269" s="146" t="e">
        <f>#REF!/$H$634</f>
        <v>#REF!</v>
      </c>
      <c r="K269" s="146" t="e">
        <f>#REF!/$H$384</f>
        <v>#REF!</v>
      </c>
    </row>
    <row r="270" spans="1:11" ht="13.15" customHeight="1" x14ac:dyDescent="0.2">
      <c r="A270" s="157"/>
      <c r="B270" s="275"/>
      <c r="C270" s="157"/>
      <c r="D270" s="715" t="s">
        <v>1484</v>
      </c>
      <c r="E270" s="715"/>
      <c r="F270" s="715"/>
      <c r="G270" s="163">
        <f>SUM(G248:G269)</f>
        <v>294</v>
      </c>
      <c r="H270" s="163">
        <f>SUM(H248:H269)</f>
        <v>697</v>
      </c>
      <c r="I270" s="158">
        <f t="shared" si="43"/>
        <v>2.0018536532967545E-2</v>
      </c>
      <c r="J270" s="158">
        <f t="shared" ref="J270:J289" si="48">H270/$H$634</f>
        <v>2.1146376309019856E-2</v>
      </c>
      <c r="K270" s="158">
        <f t="shared" ref="K270:K289" si="49">H270/$H$384</f>
        <v>7.9529895025102687E-2</v>
      </c>
    </row>
    <row r="271" spans="1:11" x14ac:dyDescent="0.2">
      <c r="A271" s="141" t="s">
        <v>1435</v>
      </c>
      <c r="B271" s="143" t="s">
        <v>222</v>
      </c>
      <c r="C271" s="141" t="s">
        <v>68</v>
      </c>
      <c r="D271" s="143" t="s">
        <v>723</v>
      </c>
      <c r="E271" s="141" t="s">
        <v>984</v>
      </c>
      <c r="F271" s="221" t="s">
        <v>555</v>
      </c>
      <c r="G271" s="144">
        <v>162</v>
      </c>
      <c r="H271" s="145">
        <v>486</v>
      </c>
      <c r="I271" s="146">
        <f t="shared" si="43"/>
        <v>1.3958405674350397E-2</v>
      </c>
      <c r="J271" s="146">
        <f t="shared" si="48"/>
        <v>1.4744819061956457E-2</v>
      </c>
      <c r="K271" s="146">
        <f t="shared" si="49"/>
        <v>5.5454130534002735E-2</v>
      </c>
    </row>
    <row r="272" spans="1:11" x14ac:dyDescent="0.2">
      <c r="A272" s="141" t="s">
        <v>1435</v>
      </c>
      <c r="B272" s="143" t="s">
        <v>222</v>
      </c>
      <c r="C272" s="141" t="s">
        <v>68</v>
      </c>
      <c r="D272" s="143" t="s">
        <v>723</v>
      </c>
      <c r="E272" s="141" t="s">
        <v>985</v>
      </c>
      <c r="F272" s="221" t="s">
        <v>986</v>
      </c>
      <c r="G272" s="144">
        <v>166</v>
      </c>
      <c r="H272" s="145">
        <v>166</v>
      </c>
      <c r="I272" s="146">
        <f t="shared" si="43"/>
        <v>4.7676858887698891E-3</v>
      </c>
      <c r="J272" s="146">
        <f t="shared" si="48"/>
        <v>5.036296222808173E-3</v>
      </c>
      <c r="K272" s="146">
        <f t="shared" si="49"/>
        <v>1.8941122774988588E-2</v>
      </c>
    </row>
    <row r="273" spans="1:11" x14ac:dyDescent="0.2">
      <c r="A273" s="141" t="s">
        <v>1435</v>
      </c>
      <c r="B273" s="143" t="s">
        <v>222</v>
      </c>
      <c r="C273" s="141" t="s">
        <v>68</v>
      </c>
      <c r="D273" s="143" t="s">
        <v>723</v>
      </c>
      <c r="E273" s="141" t="s">
        <v>987</v>
      </c>
      <c r="F273" s="221" t="s">
        <v>988</v>
      </c>
      <c r="G273" s="144">
        <v>122</v>
      </c>
      <c r="H273" s="145">
        <v>366</v>
      </c>
      <c r="I273" s="146">
        <f t="shared" si="43"/>
        <v>1.0511885754757706E-2</v>
      </c>
      <c r="J273" s="146">
        <f t="shared" si="48"/>
        <v>1.110412299727585E-2</v>
      </c>
      <c r="K273" s="146">
        <f t="shared" si="49"/>
        <v>4.1761752624372435E-2</v>
      </c>
    </row>
    <row r="274" spans="1:11" ht="24" x14ac:dyDescent="0.2">
      <c r="A274" s="141" t="s">
        <v>1435</v>
      </c>
      <c r="B274" s="143" t="s">
        <v>222</v>
      </c>
      <c r="C274" s="141" t="s">
        <v>68</v>
      </c>
      <c r="D274" s="143" t="s">
        <v>723</v>
      </c>
      <c r="E274" s="141" t="s">
        <v>989</v>
      </c>
      <c r="F274" s="221" t="s">
        <v>990</v>
      </c>
      <c r="G274" s="144">
        <v>142</v>
      </c>
      <c r="H274" s="145">
        <v>142</v>
      </c>
      <c r="I274" s="146">
        <f t="shared" si="43"/>
        <v>4.0783819048513508E-3</v>
      </c>
      <c r="J274" s="146">
        <f t="shared" si="48"/>
        <v>4.3081570098720511E-3</v>
      </c>
      <c r="K274" s="146">
        <f t="shared" si="49"/>
        <v>1.6202647193062528E-2</v>
      </c>
    </row>
    <row r="275" spans="1:11" x14ac:dyDescent="0.2">
      <c r="A275" s="141" t="s">
        <v>1435</v>
      </c>
      <c r="B275" s="143" t="s">
        <v>222</v>
      </c>
      <c r="C275" s="141" t="s">
        <v>68</v>
      </c>
      <c r="D275" s="143" t="s">
        <v>723</v>
      </c>
      <c r="E275" s="141" t="s">
        <v>991</v>
      </c>
      <c r="F275" s="221" t="s">
        <v>992</v>
      </c>
      <c r="G275" s="144">
        <v>66</v>
      </c>
      <c r="H275" s="145">
        <v>198</v>
      </c>
      <c r="I275" s="146">
        <f t="shared" si="43"/>
        <v>5.6867578673279393E-3</v>
      </c>
      <c r="J275" s="146">
        <f t="shared" si="48"/>
        <v>6.0071485067230007E-3</v>
      </c>
      <c r="K275" s="146">
        <f t="shared" si="49"/>
        <v>2.2592423550890004E-2</v>
      </c>
    </row>
    <row r="276" spans="1:11" x14ac:dyDescent="0.2">
      <c r="A276" s="141" t="s">
        <v>1435</v>
      </c>
      <c r="B276" s="143" t="s">
        <v>222</v>
      </c>
      <c r="C276" s="141" t="s">
        <v>68</v>
      </c>
      <c r="D276" s="143" t="s">
        <v>723</v>
      </c>
      <c r="E276" s="141" t="s">
        <v>993</v>
      </c>
      <c r="F276" s="221" t="s">
        <v>994</v>
      </c>
      <c r="G276" s="144">
        <v>69</v>
      </c>
      <c r="H276" s="145">
        <v>69</v>
      </c>
      <c r="I276" s="146">
        <f t="shared" si="43"/>
        <v>1.981748953765797E-3</v>
      </c>
      <c r="J276" s="146">
        <f t="shared" si="48"/>
        <v>2.0934002371913491E-3</v>
      </c>
      <c r="K276" s="146">
        <f t="shared" si="49"/>
        <v>7.8731172980374253E-3</v>
      </c>
    </row>
    <row r="277" spans="1:11" x14ac:dyDescent="0.2">
      <c r="A277" s="141" t="s">
        <v>1435</v>
      </c>
      <c r="B277" s="143" t="s">
        <v>222</v>
      </c>
      <c r="C277" s="141" t="s">
        <v>68</v>
      </c>
      <c r="D277" s="143" t="s">
        <v>723</v>
      </c>
      <c r="E277" s="141" t="s">
        <v>995</v>
      </c>
      <c r="F277" s="221" t="s">
        <v>996</v>
      </c>
      <c r="G277" s="144">
        <v>63</v>
      </c>
      <c r="H277" s="145">
        <v>189</v>
      </c>
      <c r="I277" s="146">
        <f t="shared" si="43"/>
        <v>5.4282688733584879E-3</v>
      </c>
      <c r="J277" s="146">
        <f t="shared" si="48"/>
        <v>5.7340963018719555E-3</v>
      </c>
      <c r="K277" s="146">
        <f t="shared" si="49"/>
        <v>2.1565495207667731E-2</v>
      </c>
    </row>
    <row r="278" spans="1:11" x14ac:dyDescent="0.2">
      <c r="A278" s="141" t="s">
        <v>1435</v>
      </c>
      <c r="B278" s="143" t="s">
        <v>222</v>
      </c>
      <c r="C278" s="141" t="s">
        <v>68</v>
      </c>
      <c r="D278" s="143" t="s">
        <v>723</v>
      </c>
      <c r="E278" s="141" t="s">
        <v>997</v>
      </c>
      <c r="F278" s="221" t="s">
        <v>998</v>
      </c>
      <c r="G278" s="144">
        <v>62</v>
      </c>
      <c r="H278" s="145">
        <v>62</v>
      </c>
      <c r="I278" s="146">
        <f t="shared" si="43"/>
        <v>1.7807019584562234E-3</v>
      </c>
      <c r="J278" s="146">
        <f t="shared" si="48"/>
        <v>1.8810263000849801E-3</v>
      </c>
      <c r="K278" s="146">
        <f t="shared" si="49"/>
        <v>7.0743952533089917E-3</v>
      </c>
    </row>
    <row r="279" spans="1:11" x14ac:dyDescent="0.2">
      <c r="A279" s="141" t="s">
        <v>1435</v>
      </c>
      <c r="B279" s="143" t="s">
        <v>222</v>
      </c>
      <c r="C279" s="141" t="s">
        <v>68</v>
      </c>
      <c r="D279" s="143" t="s">
        <v>723</v>
      </c>
      <c r="E279" s="141" t="s">
        <v>1586</v>
      </c>
      <c r="F279" s="221" t="s">
        <v>1587</v>
      </c>
      <c r="G279" s="144">
        <v>26</v>
      </c>
      <c r="H279" s="145">
        <v>78</v>
      </c>
      <c r="I279" s="146">
        <f t="shared" si="43"/>
        <v>2.2402379477352487E-3</v>
      </c>
      <c r="J279" s="146">
        <f t="shared" si="48"/>
        <v>2.3664524420423942E-3</v>
      </c>
      <c r="K279" s="146">
        <f t="shared" si="49"/>
        <v>8.9000456412596986E-3</v>
      </c>
    </row>
    <row r="280" spans="1:11" x14ac:dyDescent="0.2">
      <c r="A280" s="141" t="s">
        <v>1435</v>
      </c>
      <c r="B280" s="143" t="s">
        <v>222</v>
      </c>
      <c r="C280" s="141" t="s">
        <v>68</v>
      </c>
      <c r="D280" s="143" t="s">
        <v>723</v>
      </c>
      <c r="E280" s="141" t="s">
        <v>1588</v>
      </c>
      <c r="F280" s="221" t="s">
        <v>1589</v>
      </c>
      <c r="G280" s="144">
        <v>25</v>
      </c>
      <c r="H280" s="145">
        <v>25</v>
      </c>
      <c r="I280" s="146">
        <f t="shared" si="43"/>
        <v>7.1802498324847726E-4</v>
      </c>
      <c r="J280" s="146">
        <f t="shared" si="48"/>
        <v>7.584783468084597E-4</v>
      </c>
      <c r="K280" s="146">
        <f t="shared" si="49"/>
        <v>2.8525787311729804E-3</v>
      </c>
    </row>
    <row r="281" spans="1:11" x14ac:dyDescent="0.2">
      <c r="A281" s="141" t="s">
        <v>1435</v>
      </c>
      <c r="B281" s="143" t="s">
        <v>222</v>
      </c>
      <c r="C281" s="141" t="s">
        <v>68</v>
      </c>
      <c r="D281" s="143" t="s">
        <v>723</v>
      </c>
      <c r="E281" s="141" t="s">
        <v>999</v>
      </c>
      <c r="F281" s="221" t="s">
        <v>1000</v>
      </c>
      <c r="G281" s="144">
        <v>69</v>
      </c>
      <c r="H281" s="145">
        <v>207</v>
      </c>
      <c r="I281" s="146">
        <f t="shared" si="43"/>
        <v>5.9452468612973914E-3</v>
      </c>
      <c r="J281" s="146">
        <f t="shared" si="48"/>
        <v>6.2802007115740468E-3</v>
      </c>
      <c r="K281" s="146">
        <f t="shared" si="49"/>
        <v>2.3619351894112278E-2</v>
      </c>
    </row>
    <row r="282" spans="1:11" x14ac:dyDescent="0.2">
      <c r="A282" s="141" t="s">
        <v>1435</v>
      </c>
      <c r="B282" s="143" t="s">
        <v>222</v>
      </c>
      <c r="C282" s="141" t="s">
        <v>68</v>
      </c>
      <c r="D282" s="143" t="s">
        <v>723</v>
      </c>
      <c r="E282" s="141" t="s">
        <v>1001</v>
      </c>
      <c r="F282" s="221" t="s">
        <v>1002</v>
      </c>
      <c r="G282" s="144">
        <v>61</v>
      </c>
      <c r="H282" s="145">
        <v>61</v>
      </c>
      <c r="I282" s="146">
        <f t="shared" si="43"/>
        <v>1.7519809591262845E-3</v>
      </c>
      <c r="J282" s="146">
        <f t="shared" si="48"/>
        <v>1.8506871662126417E-3</v>
      </c>
      <c r="K282" s="146">
        <f t="shared" si="49"/>
        <v>6.9602921040620722E-3</v>
      </c>
    </row>
    <row r="283" spans="1:11" x14ac:dyDescent="0.2">
      <c r="A283" s="141" t="s">
        <v>1435</v>
      </c>
      <c r="B283" s="143" t="s">
        <v>222</v>
      </c>
      <c r="C283" s="141" t="s">
        <v>68</v>
      </c>
      <c r="D283" s="143" t="s">
        <v>723</v>
      </c>
      <c r="E283" s="141" t="s">
        <v>1003</v>
      </c>
      <c r="F283" s="221" t="s">
        <v>1004</v>
      </c>
      <c r="G283" s="144">
        <v>27</v>
      </c>
      <c r="H283" s="145">
        <v>54</v>
      </c>
      <c r="I283" s="146">
        <f t="shared" si="43"/>
        <v>1.5509339638167109E-3</v>
      </c>
      <c r="J283" s="146">
        <f t="shared" si="48"/>
        <v>1.638313229106273E-3</v>
      </c>
      <c r="K283" s="146">
        <f t="shared" si="49"/>
        <v>6.1615700593336377E-3</v>
      </c>
    </row>
    <row r="284" spans="1:11" x14ac:dyDescent="0.2">
      <c r="A284" s="141" t="s">
        <v>1435</v>
      </c>
      <c r="B284" s="143" t="s">
        <v>222</v>
      </c>
      <c r="C284" s="141" t="s">
        <v>68</v>
      </c>
      <c r="D284" s="143" t="s">
        <v>723</v>
      </c>
      <c r="E284" s="141" t="s">
        <v>1005</v>
      </c>
      <c r="F284" s="221" t="s">
        <v>1006</v>
      </c>
      <c r="G284" s="144">
        <v>26</v>
      </c>
      <c r="H284" s="145">
        <v>78</v>
      </c>
      <c r="I284" s="146">
        <f t="shared" si="43"/>
        <v>2.2402379477352487E-3</v>
      </c>
      <c r="J284" s="146">
        <f t="shared" si="48"/>
        <v>2.3664524420423942E-3</v>
      </c>
      <c r="K284" s="146">
        <f t="shared" si="49"/>
        <v>8.9000456412596986E-3</v>
      </c>
    </row>
    <row r="285" spans="1:11" x14ac:dyDescent="0.2">
      <c r="A285" s="141" t="s">
        <v>1435</v>
      </c>
      <c r="B285" s="143" t="s">
        <v>222</v>
      </c>
      <c r="C285" s="141" t="s">
        <v>68</v>
      </c>
      <c r="D285" s="143" t="s">
        <v>723</v>
      </c>
      <c r="E285" s="141" t="s">
        <v>1007</v>
      </c>
      <c r="F285" s="221" t="s">
        <v>1008</v>
      </c>
      <c r="G285" s="144">
        <v>24</v>
      </c>
      <c r="H285" s="145">
        <v>24</v>
      </c>
      <c r="I285" s="146">
        <f t="shared" si="43"/>
        <v>6.8930398391853817E-4</v>
      </c>
      <c r="J285" s="146">
        <f t="shared" si="48"/>
        <v>7.2813921293612136E-4</v>
      </c>
      <c r="K285" s="146">
        <f t="shared" si="49"/>
        <v>2.7384755819260614E-3</v>
      </c>
    </row>
    <row r="286" spans="1:11" x14ac:dyDescent="0.2">
      <c r="A286" s="141" t="s">
        <v>1435</v>
      </c>
      <c r="B286" s="143" t="s">
        <v>222</v>
      </c>
      <c r="C286" s="141" t="s">
        <v>68</v>
      </c>
      <c r="D286" s="143" t="s">
        <v>723</v>
      </c>
      <c r="E286" s="141" t="s">
        <v>1009</v>
      </c>
      <c r="F286" s="221" t="s">
        <v>1010</v>
      </c>
      <c r="G286" s="144">
        <v>17</v>
      </c>
      <c r="H286" s="145">
        <v>20</v>
      </c>
      <c r="I286" s="146">
        <f t="shared" si="43"/>
        <v>5.7441998659878179E-4</v>
      </c>
      <c r="J286" s="146">
        <f t="shared" si="48"/>
        <v>6.0678267744676778E-4</v>
      </c>
      <c r="K286" s="146">
        <f t="shared" si="49"/>
        <v>2.2820629849383844E-3</v>
      </c>
    </row>
    <row r="287" spans="1:11" x14ac:dyDescent="0.2">
      <c r="A287" s="141" t="s">
        <v>1435</v>
      </c>
      <c r="B287" s="143" t="s">
        <v>222</v>
      </c>
      <c r="C287" s="141" t="s">
        <v>68</v>
      </c>
      <c r="D287" s="143" t="s">
        <v>723</v>
      </c>
      <c r="E287" s="141" t="s">
        <v>1011</v>
      </c>
      <c r="F287" s="221" t="s">
        <v>553</v>
      </c>
      <c r="G287" s="144">
        <v>4</v>
      </c>
      <c r="H287" s="145">
        <v>9</v>
      </c>
      <c r="I287" s="146">
        <f t="shared" si="43"/>
        <v>2.584889939694518E-4</v>
      </c>
      <c r="J287" s="146">
        <f t="shared" si="48"/>
        <v>2.730522048510455E-4</v>
      </c>
      <c r="K287" s="146">
        <f t="shared" si="49"/>
        <v>1.026928343222273E-3</v>
      </c>
    </row>
    <row r="288" spans="1:11" x14ac:dyDescent="0.2">
      <c r="A288" s="141" t="s">
        <v>1435</v>
      </c>
      <c r="B288" s="143" t="s">
        <v>222</v>
      </c>
      <c r="C288" s="141" t="s">
        <v>68</v>
      </c>
      <c r="D288" s="143" t="s">
        <v>723</v>
      </c>
      <c r="E288" s="141" t="s">
        <v>1012</v>
      </c>
      <c r="F288" s="221" t="s">
        <v>1013</v>
      </c>
      <c r="G288" s="144">
        <v>30</v>
      </c>
      <c r="H288" s="145">
        <v>90</v>
      </c>
      <c r="I288" s="146">
        <f t="shared" si="43"/>
        <v>2.5848899396945179E-3</v>
      </c>
      <c r="J288" s="146">
        <f t="shared" si="48"/>
        <v>2.7305220485104552E-3</v>
      </c>
      <c r="K288" s="146">
        <f t="shared" si="49"/>
        <v>1.0269283432222729E-2</v>
      </c>
    </row>
    <row r="289" spans="1:11" x14ac:dyDescent="0.2">
      <c r="A289" s="141" t="s">
        <v>1435</v>
      </c>
      <c r="B289" s="143" t="s">
        <v>222</v>
      </c>
      <c r="C289" s="141" t="s">
        <v>68</v>
      </c>
      <c r="D289" s="143" t="s">
        <v>723</v>
      </c>
      <c r="E289" s="141" t="s">
        <v>1014</v>
      </c>
      <c r="F289" s="221" t="s">
        <v>1015</v>
      </c>
      <c r="G289" s="144">
        <v>31</v>
      </c>
      <c r="H289" s="145">
        <v>31</v>
      </c>
      <c r="I289" s="146">
        <f t="shared" si="43"/>
        <v>8.9035097922811172E-4</v>
      </c>
      <c r="J289" s="146">
        <f t="shared" si="48"/>
        <v>9.4051315004249007E-4</v>
      </c>
      <c r="K289" s="146">
        <f t="shared" si="49"/>
        <v>3.5371976266544958E-3</v>
      </c>
    </row>
    <row r="290" spans="1:11" hidden="1" x14ac:dyDescent="0.2">
      <c r="A290" s="141"/>
      <c r="B290" s="143"/>
      <c r="C290" s="141"/>
      <c r="D290" s="143"/>
      <c r="E290" s="141"/>
      <c r="F290" s="221"/>
      <c r="G290" s="144"/>
      <c r="H290" s="145"/>
      <c r="I290" s="146"/>
      <c r="J290" s="146"/>
      <c r="K290" s="146"/>
    </row>
    <row r="291" spans="1:11" hidden="1" x14ac:dyDescent="0.2">
      <c r="A291" s="141"/>
      <c r="B291" s="143"/>
      <c r="C291" s="141"/>
      <c r="D291" s="143"/>
      <c r="E291" s="141"/>
      <c r="F291" s="221"/>
      <c r="G291" s="144"/>
      <c r="H291" s="145"/>
      <c r="I291" s="146"/>
      <c r="J291" s="146"/>
      <c r="K291" s="146"/>
    </row>
    <row r="292" spans="1:11" x14ac:dyDescent="0.2">
      <c r="A292" s="157"/>
      <c r="B292" s="275"/>
      <c r="C292" s="157"/>
      <c r="D292" s="715" t="s">
        <v>1485</v>
      </c>
      <c r="E292" s="715"/>
      <c r="F292" s="715"/>
      <c r="G292" s="163">
        <f>SUM(G271:G291)</f>
        <v>1192</v>
      </c>
      <c r="H292" s="163">
        <f>SUM(H271:H291)</f>
        <v>2355</v>
      </c>
      <c r="I292" s="158">
        <f t="shared" ref="I292:I316" si="50">H292/$H$633</f>
        <v>6.7637953422006555E-2</v>
      </c>
      <c r="J292" s="158">
        <f t="shared" ref="J292:J316" si="51">H292/$H$634</f>
        <v>7.1448660269356909E-2</v>
      </c>
      <c r="K292" s="158">
        <f t="shared" ref="K292:K316" si="52">H292/$H$384</f>
        <v>0.26871291647649476</v>
      </c>
    </row>
    <row r="293" spans="1:11" x14ac:dyDescent="0.2">
      <c r="A293" s="141" t="s">
        <v>1435</v>
      </c>
      <c r="B293" s="143" t="s">
        <v>222</v>
      </c>
      <c r="C293" s="141" t="s">
        <v>68</v>
      </c>
      <c r="D293" s="143" t="s">
        <v>724</v>
      </c>
      <c r="E293" s="141" t="s">
        <v>1016</v>
      </c>
      <c r="F293" s="221" t="s">
        <v>1017</v>
      </c>
      <c r="G293" s="144">
        <v>47</v>
      </c>
      <c r="H293" s="145">
        <v>141</v>
      </c>
      <c r="I293" s="146">
        <f t="shared" si="50"/>
        <v>4.0496609055214114E-3</v>
      </c>
      <c r="J293" s="146">
        <f t="shared" si="51"/>
        <v>4.2778178759997126E-3</v>
      </c>
      <c r="K293" s="146">
        <f t="shared" si="52"/>
        <v>1.6088544043815611E-2</v>
      </c>
    </row>
    <row r="294" spans="1:11" ht="24" x14ac:dyDescent="0.2">
      <c r="A294" s="141" t="s">
        <v>1435</v>
      </c>
      <c r="B294" s="143" t="s">
        <v>222</v>
      </c>
      <c r="C294" s="141" t="s">
        <v>68</v>
      </c>
      <c r="D294" s="143" t="s">
        <v>724</v>
      </c>
      <c r="E294" s="141" t="s">
        <v>1018</v>
      </c>
      <c r="F294" s="221" t="s">
        <v>1019</v>
      </c>
      <c r="G294" s="144">
        <v>45</v>
      </c>
      <c r="H294" s="145">
        <v>45</v>
      </c>
      <c r="I294" s="146">
        <f t="shared" si="50"/>
        <v>1.2924449698472589E-3</v>
      </c>
      <c r="J294" s="146">
        <f t="shared" si="51"/>
        <v>1.3652610242552276E-3</v>
      </c>
      <c r="K294" s="146">
        <f t="shared" si="52"/>
        <v>5.1346417161113643E-3</v>
      </c>
    </row>
    <row r="295" spans="1:11" x14ac:dyDescent="0.2">
      <c r="A295" s="141" t="s">
        <v>1435</v>
      </c>
      <c r="B295" s="143" t="s">
        <v>222</v>
      </c>
      <c r="C295" s="141" t="s">
        <v>68</v>
      </c>
      <c r="D295" s="143" t="s">
        <v>724</v>
      </c>
      <c r="E295" s="141" t="s">
        <v>1020</v>
      </c>
      <c r="F295" s="221" t="s">
        <v>1021</v>
      </c>
      <c r="G295" s="144">
        <v>29</v>
      </c>
      <c r="H295" s="145">
        <v>87</v>
      </c>
      <c r="I295" s="146">
        <f t="shared" si="50"/>
        <v>2.4987269417047009E-3</v>
      </c>
      <c r="J295" s="146">
        <f t="shared" si="51"/>
        <v>2.6395046468934398E-3</v>
      </c>
      <c r="K295" s="146">
        <f t="shared" si="52"/>
        <v>9.926973984481972E-3</v>
      </c>
    </row>
    <row r="296" spans="1:11" ht="24" x14ac:dyDescent="0.2">
      <c r="A296" s="141" t="s">
        <v>1435</v>
      </c>
      <c r="B296" s="143" t="s">
        <v>222</v>
      </c>
      <c r="C296" s="141" t="s">
        <v>68</v>
      </c>
      <c r="D296" s="143" t="s">
        <v>724</v>
      </c>
      <c r="E296" s="141" t="s">
        <v>1022</v>
      </c>
      <c r="F296" s="221" t="s">
        <v>1023</v>
      </c>
      <c r="G296" s="144">
        <v>28</v>
      </c>
      <c r="H296" s="145">
        <v>28</v>
      </c>
      <c r="I296" s="146">
        <f t="shared" si="50"/>
        <v>8.0418798123829444E-4</v>
      </c>
      <c r="J296" s="146">
        <f t="shared" si="51"/>
        <v>8.4949574842547494E-4</v>
      </c>
      <c r="K296" s="146">
        <f t="shared" si="52"/>
        <v>3.1948881789137379E-3</v>
      </c>
    </row>
    <row r="297" spans="1:11" x14ac:dyDescent="0.2">
      <c r="A297" s="141" t="s">
        <v>1435</v>
      </c>
      <c r="B297" s="143" t="s">
        <v>222</v>
      </c>
      <c r="C297" s="141" t="s">
        <v>68</v>
      </c>
      <c r="D297" s="143" t="s">
        <v>724</v>
      </c>
      <c r="E297" s="141" t="s">
        <v>1024</v>
      </c>
      <c r="F297" s="221" t="s">
        <v>556</v>
      </c>
      <c r="G297" s="144">
        <v>125</v>
      </c>
      <c r="H297" s="145">
        <v>375</v>
      </c>
      <c r="I297" s="146">
        <f t="shared" si="50"/>
        <v>1.0770374748727158E-2</v>
      </c>
      <c r="J297" s="146">
        <f t="shared" si="51"/>
        <v>1.1377175202126897E-2</v>
      </c>
      <c r="K297" s="146">
        <f t="shared" si="52"/>
        <v>4.2788680967594708E-2</v>
      </c>
    </row>
    <row r="298" spans="1:11" x14ac:dyDescent="0.2">
      <c r="A298" s="141" t="s">
        <v>1435</v>
      </c>
      <c r="B298" s="143" t="s">
        <v>222</v>
      </c>
      <c r="C298" s="141" t="s">
        <v>68</v>
      </c>
      <c r="D298" s="143" t="s">
        <v>724</v>
      </c>
      <c r="E298" s="141" t="s">
        <v>1025</v>
      </c>
      <c r="F298" s="221" t="s">
        <v>557</v>
      </c>
      <c r="G298" s="144">
        <v>122</v>
      </c>
      <c r="H298" s="145">
        <v>122</v>
      </c>
      <c r="I298" s="146">
        <f t="shared" si="50"/>
        <v>3.5039619182525689E-3</v>
      </c>
      <c r="J298" s="146">
        <f t="shared" si="51"/>
        <v>3.7013743324252834E-3</v>
      </c>
      <c r="K298" s="146">
        <f t="shared" si="52"/>
        <v>1.3920584208124144E-2</v>
      </c>
    </row>
    <row r="299" spans="1:11" x14ac:dyDescent="0.2">
      <c r="A299" s="141" t="s">
        <v>1435</v>
      </c>
      <c r="B299" s="143" t="s">
        <v>222</v>
      </c>
      <c r="C299" s="141" t="s">
        <v>68</v>
      </c>
      <c r="D299" s="143" t="s">
        <v>724</v>
      </c>
      <c r="E299" s="141" t="s">
        <v>1026</v>
      </c>
      <c r="F299" s="221" t="s">
        <v>558</v>
      </c>
      <c r="G299" s="144">
        <v>54</v>
      </c>
      <c r="H299" s="145">
        <v>162</v>
      </c>
      <c r="I299" s="146">
        <f t="shared" si="50"/>
        <v>4.6528018914501323E-3</v>
      </c>
      <c r="J299" s="146">
        <f t="shared" si="51"/>
        <v>4.9149396873188192E-3</v>
      </c>
      <c r="K299" s="146">
        <f t="shared" si="52"/>
        <v>1.8484710178000914E-2</v>
      </c>
    </row>
    <row r="300" spans="1:11" ht="24" x14ac:dyDescent="0.2">
      <c r="A300" s="141" t="s">
        <v>1435</v>
      </c>
      <c r="B300" s="143" t="s">
        <v>222</v>
      </c>
      <c r="C300" s="141" t="s">
        <v>68</v>
      </c>
      <c r="D300" s="143" t="s">
        <v>724</v>
      </c>
      <c r="E300" s="141" t="s">
        <v>1027</v>
      </c>
      <c r="F300" s="221" t="s">
        <v>1028</v>
      </c>
      <c r="G300" s="144">
        <v>49</v>
      </c>
      <c r="H300" s="145">
        <v>98</v>
      </c>
      <c r="I300" s="146">
        <f t="shared" si="50"/>
        <v>2.8146579343340306E-3</v>
      </c>
      <c r="J300" s="146">
        <f t="shared" si="51"/>
        <v>2.9732351194891623E-3</v>
      </c>
      <c r="K300" s="146">
        <f t="shared" si="52"/>
        <v>1.1182108626198083E-2</v>
      </c>
    </row>
    <row r="301" spans="1:11" x14ac:dyDescent="0.2">
      <c r="A301" s="141" t="s">
        <v>1435</v>
      </c>
      <c r="B301" s="143" t="s">
        <v>222</v>
      </c>
      <c r="C301" s="141" t="s">
        <v>68</v>
      </c>
      <c r="D301" s="143" t="s">
        <v>724</v>
      </c>
      <c r="E301" s="141" t="s">
        <v>1029</v>
      </c>
      <c r="F301" s="221" t="s">
        <v>1030</v>
      </c>
      <c r="G301" s="144">
        <v>13</v>
      </c>
      <c r="H301" s="145">
        <v>39</v>
      </c>
      <c r="I301" s="146">
        <f t="shared" si="50"/>
        <v>1.1201189738676244E-3</v>
      </c>
      <c r="J301" s="146">
        <f t="shared" si="51"/>
        <v>1.1832262210211971E-3</v>
      </c>
      <c r="K301" s="146">
        <f t="shared" si="52"/>
        <v>4.4500228206298493E-3</v>
      </c>
    </row>
    <row r="302" spans="1:11" ht="24" x14ac:dyDescent="0.2">
      <c r="A302" s="141" t="s">
        <v>1435</v>
      </c>
      <c r="B302" s="143" t="s">
        <v>222</v>
      </c>
      <c r="C302" s="141" t="s">
        <v>68</v>
      </c>
      <c r="D302" s="143" t="s">
        <v>724</v>
      </c>
      <c r="E302" s="141" t="s">
        <v>1031</v>
      </c>
      <c r="F302" s="221" t="s">
        <v>1032</v>
      </c>
      <c r="G302" s="144">
        <v>12</v>
      </c>
      <c r="H302" s="145">
        <v>12</v>
      </c>
      <c r="I302" s="146">
        <f t="shared" si="50"/>
        <v>3.4465199195926908E-4</v>
      </c>
      <c r="J302" s="146">
        <f t="shared" si="51"/>
        <v>3.6406960646806068E-4</v>
      </c>
      <c r="K302" s="146">
        <f t="shared" si="52"/>
        <v>1.3692377909630307E-3</v>
      </c>
    </row>
    <row r="303" spans="1:11" x14ac:dyDescent="0.2">
      <c r="A303" s="141" t="s">
        <v>1435</v>
      </c>
      <c r="B303" s="143" t="s">
        <v>222</v>
      </c>
      <c r="C303" s="141" t="s">
        <v>68</v>
      </c>
      <c r="D303" s="143" t="s">
        <v>724</v>
      </c>
      <c r="E303" s="141" t="s">
        <v>1033</v>
      </c>
      <c r="F303" s="221" t="s">
        <v>1010</v>
      </c>
      <c r="G303" s="144">
        <v>3</v>
      </c>
      <c r="H303" s="145">
        <v>4</v>
      </c>
      <c r="I303" s="146">
        <f t="shared" si="50"/>
        <v>1.1488399731975635E-4</v>
      </c>
      <c r="J303" s="146">
        <f t="shared" si="51"/>
        <v>1.2135653548935355E-4</v>
      </c>
      <c r="K303" s="146">
        <f t="shared" si="52"/>
        <v>4.5641259698767686E-4</v>
      </c>
    </row>
    <row r="304" spans="1:11" x14ac:dyDescent="0.2">
      <c r="A304" s="141" t="s">
        <v>1435</v>
      </c>
      <c r="B304" s="143" t="s">
        <v>222</v>
      </c>
      <c r="C304" s="141" t="s">
        <v>68</v>
      </c>
      <c r="D304" s="143" t="s">
        <v>724</v>
      </c>
      <c r="E304" s="141" t="s">
        <v>1590</v>
      </c>
      <c r="F304" s="221" t="s">
        <v>1591</v>
      </c>
      <c r="G304" s="144">
        <v>3</v>
      </c>
      <c r="H304" s="145">
        <v>12</v>
      </c>
      <c r="I304" s="146">
        <f t="shared" si="50"/>
        <v>3.4465199195926908E-4</v>
      </c>
      <c r="J304" s="146">
        <f t="shared" si="51"/>
        <v>3.6406960646806068E-4</v>
      </c>
      <c r="K304" s="146">
        <f t="shared" si="52"/>
        <v>1.3692377909630307E-3</v>
      </c>
    </row>
    <row r="305" spans="1:11" x14ac:dyDescent="0.2">
      <c r="A305" s="295" t="s">
        <v>1435</v>
      </c>
      <c r="B305" s="294" t="s">
        <v>222</v>
      </c>
      <c r="C305" s="295" t="s">
        <v>68</v>
      </c>
      <c r="D305" s="294" t="s">
        <v>724</v>
      </c>
      <c r="E305" s="295" t="s">
        <v>1592</v>
      </c>
      <c r="F305" s="296" t="s">
        <v>1593</v>
      </c>
      <c r="G305" s="297">
        <v>3</v>
      </c>
      <c r="H305" s="298">
        <v>6</v>
      </c>
      <c r="I305" s="299">
        <f t="shared" si="50"/>
        <v>1.7232599597963454E-4</v>
      </c>
      <c r="J305" s="299">
        <f t="shared" si="51"/>
        <v>1.8203480323403034E-4</v>
      </c>
      <c r="K305" s="299">
        <f t="shared" si="52"/>
        <v>6.8461889548151534E-4</v>
      </c>
    </row>
    <row r="306" spans="1:11" x14ac:dyDescent="0.2">
      <c r="A306" s="542"/>
      <c r="B306" s="543"/>
      <c r="C306" s="542"/>
      <c r="D306" s="716" t="s">
        <v>1486</v>
      </c>
      <c r="E306" s="716"/>
      <c r="F306" s="716"/>
      <c r="G306" s="544">
        <f>SUM(G293:G305)</f>
        <v>533</v>
      </c>
      <c r="H306" s="544">
        <f>SUM(H293:H305)</f>
        <v>1131</v>
      </c>
      <c r="I306" s="545">
        <f t="shared" si="50"/>
        <v>3.2483450242161108E-2</v>
      </c>
      <c r="J306" s="545">
        <f t="shared" si="51"/>
        <v>3.4313560409614717E-2</v>
      </c>
      <c r="K306" s="545">
        <f t="shared" si="52"/>
        <v>0.12905066179826563</v>
      </c>
    </row>
    <row r="307" spans="1:11" x14ac:dyDescent="0.2">
      <c r="A307" s="334" t="s">
        <v>1435</v>
      </c>
      <c r="B307" s="326" t="s">
        <v>222</v>
      </c>
      <c r="C307" s="334" t="s">
        <v>68</v>
      </c>
      <c r="D307" s="326" t="s">
        <v>725</v>
      </c>
      <c r="E307" s="334" t="s">
        <v>1034</v>
      </c>
      <c r="F307" s="335" t="s">
        <v>560</v>
      </c>
      <c r="G307" s="336">
        <v>23</v>
      </c>
      <c r="H307" s="337">
        <v>69</v>
      </c>
      <c r="I307" s="170">
        <f t="shared" si="50"/>
        <v>1.981748953765797E-3</v>
      </c>
      <c r="J307" s="170">
        <f t="shared" si="51"/>
        <v>2.0934002371913491E-3</v>
      </c>
      <c r="K307" s="170">
        <f t="shared" si="52"/>
        <v>7.8731172980374253E-3</v>
      </c>
    </row>
    <row r="308" spans="1:11" x14ac:dyDescent="0.2">
      <c r="A308" s="141" t="s">
        <v>1435</v>
      </c>
      <c r="B308" s="143" t="s">
        <v>222</v>
      </c>
      <c r="C308" s="141" t="s">
        <v>68</v>
      </c>
      <c r="D308" s="143" t="s">
        <v>725</v>
      </c>
      <c r="E308" s="141" t="s">
        <v>1035</v>
      </c>
      <c r="F308" s="221" t="s">
        <v>561</v>
      </c>
      <c r="G308" s="144">
        <v>9</v>
      </c>
      <c r="H308" s="145">
        <v>36</v>
      </c>
      <c r="I308" s="146">
        <f t="shared" si="50"/>
        <v>1.0339559758778072E-3</v>
      </c>
      <c r="J308" s="146">
        <f t="shared" si="51"/>
        <v>1.092208819404182E-3</v>
      </c>
      <c r="K308" s="146">
        <f t="shared" si="52"/>
        <v>4.1077133728890918E-3</v>
      </c>
    </row>
    <row r="309" spans="1:11" x14ac:dyDescent="0.2">
      <c r="A309" s="141" t="s">
        <v>1435</v>
      </c>
      <c r="B309" s="143" t="s">
        <v>222</v>
      </c>
      <c r="C309" s="141" t="s">
        <v>68</v>
      </c>
      <c r="D309" s="143" t="s">
        <v>725</v>
      </c>
      <c r="E309" s="141" t="s">
        <v>1036</v>
      </c>
      <c r="F309" s="221" t="s">
        <v>571</v>
      </c>
      <c r="G309" s="144">
        <v>14</v>
      </c>
      <c r="H309" s="145">
        <v>42</v>
      </c>
      <c r="I309" s="146">
        <f t="shared" si="50"/>
        <v>1.2062819718574418E-3</v>
      </c>
      <c r="J309" s="146">
        <f t="shared" si="51"/>
        <v>1.2742436226382125E-3</v>
      </c>
      <c r="K309" s="146">
        <f t="shared" si="52"/>
        <v>4.7923322683706068E-3</v>
      </c>
    </row>
    <row r="310" spans="1:11" x14ac:dyDescent="0.2">
      <c r="A310" s="141" t="s">
        <v>1435</v>
      </c>
      <c r="B310" s="143" t="s">
        <v>222</v>
      </c>
      <c r="C310" s="141" t="s">
        <v>68</v>
      </c>
      <c r="D310" s="143" t="s">
        <v>725</v>
      </c>
      <c r="E310" s="141" t="s">
        <v>1594</v>
      </c>
      <c r="F310" s="221" t="s">
        <v>1595</v>
      </c>
      <c r="G310" s="144">
        <v>4</v>
      </c>
      <c r="H310" s="145">
        <v>16</v>
      </c>
      <c r="I310" s="146">
        <f t="shared" si="50"/>
        <v>4.5953598927902541E-4</v>
      </c>
      <c r="J310" s="146">
        <f t="shared" si="51"/>
        <v>4.854261419574142E-4</v>
      </c>
      <c r="K310" s="146">
        <f t="shared" si="52"/>
        <v>1.8256503879507074E-3</v>
      </c>
    </row>
    <row r="311" spans="1:11" x14ac:dyDescent="0.2">
      <c r="A311" s="141" t="s">
        <v>1435</v>
      </c>
      <c r="B311" s="143" t="s">
        <v>222</v>
      </c>
      <c r="C311" s="141" t="s">
        <v>68</v>
      </c>
      <c r="D311" s="143" t="s">
        <v>725</v>
      </c>
      <c r="E311" s="141" t="s">
        <v>1037</v>
      </c>
      <c r="F311" s="221" t="s">
        <v>1038</v>
      </c>
      <c r="G311" s="144">
        <v>4</v>
      </c>
      <c r="H311" s="145">
        <v>12</v>
      </c>
      <c r="I311" s="146">
        <f t="shared" si="50"/>
        <v>3.4465199195926908E-4</v>
      </c>
      <c r="J311" s="146">
        <f t="shared" si="51"/>
        <v>3.6406960646806068E-4</v>
      </c>
      <c r="K311" s="146">
        <f t="shared" si="52"/>
        <v>1.3692377909630307E-3</v>
      </c>
    </row>
    <row r="312" spans="1:11" x14ac:dyDescent="0.2">
      <c r="A312" s="141" t="s">
        <v>1435</v>
      </c>
      <c r="B312" s="143" t="s">
        <v>222</v>
      </c>
      <c r="C312" s="141" t="s">
        <v>68</v>
      </c>
      <c r="D312" s="143" t="s">
        <v>725</v>
      </c>
      <c r="E312" s="141" t="s">
        <v>1596</v>
      </c>
      <c r="F312" s="221" t="s">
        <v>1597</v>
      </c>
      <c r="G312" s="144">
        <v>13</v>
      </c>
      <c r="H312" s="145">
        <v>39</v>
      </c>
      <c r="I312" s="146">
        <f t="shared" si="50"/>
        <v>1.1201189738676244E-3</v>
      </c>
      <c r="J312" s="146">
        <f t="shared" si="51"/>
        <v>1.1832262210211971E-3</v>
      </c>
      <c r="K312" s="146">
        <f t="shared" si="52"/>
        <v>4.4500228206298493E-3</v>
      </c>
    </row>
    <row r="313" spans="1:11" x14ac:dyDescent="0.2">
      <c r="A313" s="141" t="s">
        <v>1435</v>
      </c>
      <c r="B313" s="143" t="s">
        <v>222</v>
      </c>
      <c r="C313" s="141" t="s">
        <v>68</v>
      </c>
      <c r="D313" s="143" t="s">
        <v>725</v>
      </c>
      <c r="E313" s="141" t="s">
        <v>1039</v>
      </c>
      <c r="F313" s="221" t="s">
        <v>1040</v>
      </c>
      <c r="G313" s="144">
        <v>5</v>
      </c>
      <c r="H313" s="145">
        <v>15</v>
      </c>
      <c r="I313" s="146">
        <f t="shared" si="50"/>
        <v>4.3081498994908631E-4</v>
      </c>
      <c r="J313" s="146">
        <f t="shared" si="51"/>
        <v>4.5508700808507586E-4</v>
      </c>
      <c r="K313" s="146">
        <f t="shared" si="52"/>
        <v>1.7115472387037882E-3</v>
      </c>
    </row>
    <row r="314" spans="1:11" ht="24" x14ac:dyDescent="0.2">
      <c r="A314" s="141" t="s">
        <v>1435</v>
      </c>
      <c r="B314" s="143" t="s">
        <v>222</v>
      </c>
      <c r="C314" s="141" t="s">
        <v>68</v>
      </c>
      <c r="D314" s="143" t="s">
        <v>725</v>
      </c>
      <c r="E314" s="141" t="s">
        <v>1041</v>
      </c>
      <c r="F314" s="221" t="s">
        <v>1042</v>
      </c>
      <c r="G314" s="144">
        <v>4</v>
      </c>
      <c r="H314" s="145">
        <v>12</v>
      </c>
      <c r="I314" s="146">
        <f t="shared" si="50"/>
        <v>3.4465199195926908E-4</v>
      </c>
      <c r="J314" s="146">
        <f t="shared" si="51"/>
        <v>3.6406960646806068E-4</v>
      </c>
      <c r="K314" s="146">
        <f t="shared" si="52"/>
        <v>1.3692377909630307E-3</v>
      </c>
    </row>
    <row r="315" spans="1:11" x14ac:dyDescent="0.2">
      <c r="A315" s="141" t="s">
        <v>1435</v>
      </c>
      <c r="B315" s="143" t="s">
        <v>222</v>
      </c>
      <c r="C315" s="141" t="s">
        <v>68</v>
      </c>
      <c r="D315" s="143" t="s">
        <v>725</v>
      </c>
      <c r="E315" s="141" t="s">
        <v>1043</v>
      </c>
      <c r="F315" s="221" t="s">
        <v>562</v>
      </c>
      <c r="G315" s="144">
        <v>4</v>
      </c>
      <c r="H315" s="145">
        <v>12</v>
      </c>
      <c r="I315" s="146">
        <f t="shared" si="50"/>
        <v>3.4465199195926908E-4</v>
      </c>
      <c r="J315" s="146">
        <f t="shared" si="51"/>
        <v>3.6406960646806068E-4</v>
      </c>
      <c r="K315" s="146">
        <f t="shared" si="52"/>
        <v>1.3692377909630307E-3</v>
      </c>
    </row>
    <row r="316" spans="1:11" x14ac:dyDescent="0.2">
      <c r="A316" s="141" t="s">
        <v>1435</v>
      </c>
      <c r="B316" s="143" t="s">
        <v>222</v>
      </c>
      <c r="C316" s="141" t="s">
        <v>68</v>
      </c>
      <c r="D316" s="143" t="s">
        <v>725</v>
      </c>
      <c r="E316" s="141" t="s">
        <v>1044</v>
      </c>
      <c r="F316" s="221" t="s">
        <v>1045</v>
      </c>
      <c r="G316" s="144">
        <v>4</v>
      </c>
      <c r="H316" s="145">
        <v>12</v>
      </c>
      <c r="I316" s="146">
        <f t="shared" si="50"/>
        <v>3.4465199195926908E-4</v>
      </c>
      <c r="J316" s="146">
        <f t="shared" si="51"/>
        <v>3.6406960646806068E-4</v>
      </c>
      <c r="K316" s="146">
        <f t="shared" si="52"/>
        <v>1.3692377909630307E-3</v>
      </c>
    </row>
    <row r="317" spans="1:11" hidden="1" x14ac:dyDescent="0.2">
      <c r="A317" s="141"/>
      <c r="B317" s="143"/>
      <c r="C317" s="141"/>
      <c r="D317" s="143"/>
      <c r="E317" s="141"/>
      <c r="F317" s="221"/>
      <c r="G317" s="144"/>
      <c r="H317" s="145"/>
      <c r="I317" s="146"/>
      <c r="J317" s="146"/>
      <c r="K317" s="146"/>
    </row>
    <row r="318" spans="1:11" hidden="1" x14ac:dyDescent="0.2">
      <c r="A318" s="141"/>
      <c r="B318" s="143"/>
      <c r="C318" s="141"/>
      <c r="D318" s="143"/>
      <c r="E318" s="141"/>
      <c r="F318" s="221"/>
      <c r="G318" s="144"/>
      <c r="H318" s="145"/>
      <c r="I318" s="146"/>
      <c r="J318" s="146"/>
      <c r="K318" s="146"/>
    </row>
    <row r="319" spans="1:11" x14ac:dyDescent="0.2">
      <c r="A319" s="157"/>
      <c r="B319" s="275"/>
      <c r="C319" s="157"/>
      <c r="D319" s="715" t="s">
        <v>1487</v>
      </c>
      <c r="E319" s="715"/>
      <c r="F319" s="715"/>
      <c r="G319" s="163">
        <f>SUM(G307:G318)</f>
        <v>84</v>
      </c>
      <c r="H319" s="163">
        <f>SUM(H307:H318)</f>
        <v>265</v>
      </c>
      <c r="I319" s="158">
        <f t="shared" ref="I319:I329" si="53">H319/$H$633</f>
        <v>7.6110648224338587E-3</v>
      </c>
      <c r="J319" s="158">
        <f t="shared" ref="J319:J329" si="54">H319/$H$634</f>
        <v>8.0398704761696724E-3</v>
      </c>
      <c r="K319" s="158">
        <f t="shared" ref="K319:K329" si="55">H319/$H$384</f>
        <v>3.0237334550433592E-2</v>
      </c>
    </row>
    <row r="320" spans="1:11" x14ac:dyDescent="0.2">
      <c r="A320" s="141" t="s">
        <v>1435</v>
      </c>
      <c r="B320" s="143" t="s">
        <v>222</v>
      </c>
      <c r="C320" s="141" t="s">
        <v>68</v>
      </c>
      <c r="D320" s="143" t="s">
        <v>726</v>
      </c>
      <c r="E320" s="141" t="s">
        <v>1046</v>
      </c>
      <c r="F320" s="221" t="s">
        <v>563</v>
      </c>
      <c r="G320" s="144">
        <v>59</v>
      </c>
      <c r="H320" s="145">
        <v>177</v>
      </c>
      <c r="I320" s="146">
        <f t="shared" si="53"/>
        <v>5.0836168813992184E-3</v>
      </c>
      <c r="J320" s="146">
        <f t="shared" si="54"/>
        <v>5.370026695403895E-3</v>
      </c>
      <c r="K320" s="146">
        <f t="shared" si="55"/>
        <v>2.0196257416704701E-2</v>
      </c>
    </row>
    <row r="321" spans="1:11" x14ac:dyDescent="0.2">
      <c r="A321" s="141" t="s">
        <v>1435</v>
      </c>
      <c r="B321" s="143" t="s">
        <v>222</v>
      </c>
      <c r="C321" s="141" t="s">
        <v>68</v>
      </c>
      <c r="D321" s="143" t="s">
        <v>726</v>
      </c>
      <c r="E321" s="141" t="s">
        <v>1047</v>
      </c>
      <c r="F321" s="221" t="s">
        <v>563</v>
      </c>
      <c r="G321" s="144">
        <v>137</v>
      </c>
      <c r="H321" s="145">
        <v>411</v>
      </c>
      <c r="I321" s="146">
        <f t="shared" si="53"/>
        <v>1.1804330724604966E-2</v>
      </c>
      <c r="J321" s="146">
        <f t="shared" si="54"/>
        <v>1.2469384021531077E-2</v>
      </c>
      <c r="K321" s="146">
        <f t="shared" si="55"/>
        <v>4.6896394340483795E-2</v>
      </c>
    </row>
    <row r="322" spans="1:11" x14ac:dyDescent="0.2">
      <c r="A322" s="141" t="s">
        <v>1435</v>
      </c>
      <c r="B322" s="143" t="s">
        <v>222</v>
      </c>
      <c r="C322" s="141" t="s">
        <v>68</v>
      </c>
      <c r="D322" s="143" t="s">
        <v>726</v>
      </c>
      <c r="E322" s="141" t="s">
        <v>1048</v>
      </c>
      <c r="F322" s="221" t="s">
        <v>563</v>
      </c>
      <c r="G322" s="144">
        <v>30</v>
      </c>
      <c r="H322" s="145">
        <v>150</v>
      </c>
      <c r="I322" s="146">
        <f t="shared" si="53"/>
        <v>4.3081498994908636E-3</v>
      </c>
      <c r="J322" s="146">
        <f t="shared" si="54"/>
        <v>4.5508700808507586E-3</v>
      </c>
      <c r="K322" s="146">
        <f t="shared" si="55"/>
        <v>1.7115472387037881E-2</v>
      </c>
    </row>
    <row r="323" spans="1:11" x14ac:dyDescent="0.2">
      <c r="A323" s="141" t="s">
        <v>1435</v>
      </c>
      <c r="B323" s="143" t="s">
        <v>222</v>
      </c>
      <c r="C323" s="141" t="s">
        <v>68</v>
      </c>
      <c r="D323" s="143" t="s">
        <v>726</v>
      </c>
      <c r="E323" s="141" t="s">
        <v>1049</v>
      </c>
      <c r="F323" s="221" t="s">
        <v>1050</v>
      </c>
      <c r="G323" s="144">
        <v>104</v>
      </c>
      <c r="H323" s="145">
        <v>312</v>
      </c>
      <c r="I323" s="146">
        <f t="shared" si="53"/>
        <v>8.960951790940995E-3</v>
      </c>
      <c r="J323" s="146">
        <f t="shared" si="54"/>
        <v>9.4658097681695769E-3</v>
      </c>
      <c r="K323" s="146">
        <f t="shared" si="55"/>
        <v>3.5600182565038795E-2</v>
      </c>
    </row>
    <row r="324" spans="1:11" x14ac:dyDescent="0.2">
      <c r="A324" s="141" t="s">
        <v>1435</v>
      </c>
      <c r="B324" s="143" t="s">
        <v>222</v>
      </c>
      <c r="C324" s="141" t="s">
        <v>68</v>
      </c>
      <c r="D324" s="143" t="s">
        <v>726</v>
      </c>
      <c r="E324" s="141" t="s">
        <v>1051</v>
      </c>
      <c r="F324" s="221" t="s">
        <v>564</v>
      </c>
      <c r="G324" s="144">
        <v>135</v>
      </c>
      <c r="H324" s="145">
        <v>405</v>
      </c>
      <c r="I324" s="146">
        <f t="shared" si="53"/>
        <v>1.1632004728625332E-2</v>
      </c>
      <c r="J324" s="146">
        <f t="shared" si="54"/>
        <v>1.2287349218297048E-2</v>
      </c>
      <c r="K324" s="146">
        <f t="shared" si="55"/>
        <v>4.6211775445002282E-2</v>
      </c>
    </row>
    <row r="325" spans="1:11" ht="24" x14ac:dyDescent="0.2">
      <c r="A325" s="141" t="s">
        <v>1435</v>
      </c>
      <c r="B325" s="143" t="s">
        <v>222</v>
      </c>
      <c r="C325" s="141" t="s">
        <v>68</v>
      </c>
      <c r="D325" s="143" t="s">
        <v>726</v>
      </c>
      <c r="E325" s="141" t="s">
        <v>1052</v>
      </c>
      <c r="F325" s="221" t="s">
        <v>1053</v>
      </c>
      <c r="G325" s="144">
        <v>14</v>
      </c>
      <c r="H325" s="145">
        <v>42</v>
      </c>
      <c r="I325" s="146">
        <f t="shared" si="53"/>
        <v>1.2062819718574418E-3</v>
      </c>
      <c r="J325" s="146">
        <f t="shared" si="54"/>
        <v>1.2742436226382125E-3</v>
      </c>
      <c r="K325" s="146">
        <f t="shared" si="55"/>
        <v>4.7923322683706068E-3</v>
      </c>
    </row>
    <row r="326" spans="1:11" x14ac:dyDescent="0.2">
      <c r="A326" s="141" t="s">
        <v>1435</v>
      </c>
      <c r="B326" s="143" t="s">
        <v>222</v>
      </c>
      <c r="C326" s="141" t="s">
        <v>68</v>
      </c>
      <c r="D326" s="143" t="s">
        <v>726</v>
      </c>
      <c r="E326" s="141" t="s">
        <v>1054</v>
      </c>
      <c r="F326" s="221" t="s">
        <v>565</v>
      </c>
      <c r="G326" s="144">
        <v>142</v>
      </c>
      <c r="H326" s="145">
        <v>426</v>
      </c>
      <c r="I326" s="146">
        <f t="shared" si="53"/>
        <v>1.2235145714554052E-2</v>
      </c>
      <c r="J326" s="146">
        <f t="shared" si="54"/>
        <v>1.2924471029616153E-2</v>
      </c>
      <c r="K326" s="146">
        <f t="shared" si="55"/>
        <v>4.8607941579187589E-2</v>
      </c>
    </row>
    <row r="327" spans="1:11" x14ac:dyDescent="0.2">
      <c r="A327" s="141" t="s">
        <v>1435</v>
      </c>
      <c r="B327" s="143" t="s">
        <v>222</v>
      </c>
      <c r="C327" s="141" t="s">
        <v>68</v>
      </c>
      <c r="D327" s="143" t="s">
        <v>726</v>
      </c>
      <c r="E327" s="141" t="s">
        <v>1055</v>
      </c>
      <c r="F327" s="221" t="s">
        <v>1056</v>
      </c>
      <c r="G327" s="144">
        <v>24</v>
      </c>
      <c r="H327" s="145">
        <v>72</v>
      </c>
      <c r="I327" s="146">
        <f t="shared" si="53"/>
        <v>2.0679119517556144E-3</v>
      </c>
      <c r="J327" s="146">
        <f t="shared" si="54"/>
        <v>2.184417638808364E-3</v>
      </c>
      <c r="K327" s="146">
        <f t="shared" si="55"/>
        <v>8.2154267457781836E-3</v>
      </c>
    </row>
    <row r="328" spans="1:11" x14ac:dyDescent="0.2">
      <c r="A328" s="141" t="s">
        <v>1435</v>
      </c>
      <c r="B328" s="143" t="s">
        <v>222</v>
      </c>
      <c r="C328" s="141" t="s">
        <v>68</v>
      </c>
      <c r="D328" s="143" t="s">
        <v>726</v>
      </c>
      <c r="E328" s="141" t="s">
        <v>1057</v>
      </c>
      <c r="F328" s="221" t="s">
        <v>1056</v>
      </c>
      <c r="G328" s="144">
        <v>13</v>
      </c>
      <c r="H328" s="145">
        <v>39</v>
      </c>
      <c r="I328" s="146">
        <f t="shared" si="53"/>
        <v>1.1201189738676244E-3</v>
      </c>
      <c r="J328" s="146">
        <f t="shared" si="54"/>
        <v>1.1832262210211971E-3</v>
      </c>
      <c r="K328" s="146">
        <f t="shared" si="55"/>
        <v>4.4500228206298493E-3</v>
      </c>
    </row>
    <row r="329" spans="1:11" x14ac:dyDescent="0.2">
      <c r="A329" s="141" t="s">
        <v>1435</v>
      </c>
      <c r="B329" s="143" t="s">
        <v>222</v>
      </c>
      <c r="C329" s="141" t="s">
        <v>68</v>
      </c>
      <c r="D329" s="143" t="s">
        <v>726</v>
      </c>
      <c r="E329" s="141" t="s">
        <v>1058</v>
      </c>
      <c r="F329" s="221" t="s">
        <v>566</v>
      </c>
      <c r="G329" s="144">
        <v>51</v>
      </c>
      <c r="H329" s="145">
        <v>255</v>
      </c>
      <c r="I329" s="146">
        <f t="shared" si="53"/>
        <v>7.323854829134468E-3</v>
      </c>
      <c r="J329" s="146">
        <f t="shared" si="54"/>
        <v>7.7364791374462897E-3</v>
      </c>
      <c r="K329" s="146">
        <f t="shared" si="55"/>
        <v>2.9096303057964401E-2</v>
      </c>
    </row>
    <row r="330" spans="1:11" x14ac:dyDescent="0.2">
      <c r="A330" s="141" t="s">
        <v>1435</v>
      </c>
      <c r="B330" s="143" t="s">
        <v>222</v>
      </c>
      <c r="C330" s="141" t="s">
        <v>68</v>
      </c>
      <c r="D330" s="143" t="s">
        <v>726</v>
      </c>
      <c r="E330" s="141" t="s">
        <v>1059</v>
      </c>
      <c r="F330" s="221" t="s">
        <v>567</v>
      </c>
      <c r="G330" s="144">
        <v>81</v>
      </c>
      <c r="H330" s="145">
        <v>405</v>
      </c>
      <c r="I330" s="146">
        <f t="shared" ref="I330:I331" si="56">H330/$H$633</f>
        <v>1.1632004728625332E-2</v>
      </c>
      <c r="J330" s="146">
        <f t="shared" ref="J330:J331" si="57">H330/$H$634</f>
        <v>1.2287349218297048E-2</v>
      </c>
      <c r="K330" s="146">
        <f t="shared" ref="K330:K331" si="58">H330/$H$384</f>
        <v>4.6211775445002282E-2</v>
      </c>
    </row>
    <row r="331" spans="1:11" x14ac:dyDescent="0.2">
      <c r="A331" s="141" t="s">
        <v>1435</v>
      </c>
      <c r="B331" s="143" t="s">
        <v>222</v>
      </c>
      <c r="C331" s="141" t="s">
        <v>68</v>
      </c>
      <c r="D331" s="143" t="s">
        <v>726</v>
      </c>
      <c r="E331" s="141" t="s">
        <v>1060</v>
      </c>
      <c r="F331" s="221" t="s">
        <v>568</v>
      </c>
      <c r="G331" s="144">
        <v>17</v>
      </c>
      <c r="H331" s="145">
        <v>85</v>
      </c>
      <c r="I331" s="146">
        <f t="shared" si="56"/>
        <v>2.4412849430448225E-3</v>
      </c>
      <c r="J331" s="146">
        <f t="shared" si="57"/>
        <v>2.5788263791487629E-3</v>
      </c>
      <c r="K331" s="146">
        <f t="shared" si="58"/>
        <v>9.6987676859881331E-3</v>
      </c>
    </row>
    <row r="332" spans="1:11" x14ac:dyDescent="0.2">
      <c r="A332" s="141" t="s">
        <v>1435</v>
      </c>
      <c r="B332" s="143" t="s">
        <v>222</v>
      </c>
      <c r="C332" s="141" t="s">
        <v>68</v>
      </c>
      <c r="D332" s="143" t="s">
        <v>726</v>
      </c>
      <c r="E332" s="141" t="s">
        <v>1061</v>
      </c>
      <c r="F332" s="221" t="s">
        <v>569</v>
      </c>
      <c r="G332" s="144">
        <v>17</v>
      </c>
      <c r="H332" s="145">
        <v>68</v>
      </c>
      <c r="I332" s="146">
        <f t="shared" ref="I332:I360" si="59">H332/$H$633</f>
        <v>1.953027954435858E-3</v>
      </c>
      <c r="J332" s="146">
        <f t="shared" ref="J332:J357" si="60">H332/$H$634</f>
        <v>2.0630611033190106E-3</v>
      </c>
      <c r="K332" s="146">
        <f t="shared" ref="K332:K360" si="61">H332/$H$384</f>
        <v>7.7590141487905067E-3</v>
      </c>
    </row>
    <row r="333" spans="1:11" x14ac:dyDescent="0.2">
      <c r="A333" s="141" t="s">
        <v>1435</v>
      </c>
      <c r="B333" s="143" t="s">
        <v>222</v>
      </c>
      <c r="C333" s="141" t="s">
        <v>68</v>
      </c>
      <c r="D333" s="143" t="s">
        <v>726</v>
      </c>
      <c r="E333" s="141" t="s">
        <v>1062</v>
      </c>
      <c r="F333" s="221" t="s">
        <v>570</v>
      </c>
      <c r="G333" s="144">
        <v>10</v>
      </c>
      <c r="H333" s="145">
        <v>30</v>
      </c>
      <c r="I333" s="146">
        <f t="shared" si="59"/>
        <v>8.6162997989817263E-4</v>
      </c>
      <c r="J333" s="146">
        <f t="shared" si="60"/>
        <v>9.1017401617015173E-4</v>
      </c>
      <c r="K333" s="146">
        <f t="shared" si="61"/>
        <v>3.4230944774075764E-3</v>
      </c>
    </row>
    <row r="334" spans="1:11" x14ac:dyDescent="0.2">
      <c r="A334" s="141" t="s">
        <v>1435</v>
      </c>
      <c r="B334" s="143" t="s">
        <v>222</v>
      </c>
      <c r="C334" s="141" t="s">
        <v>68</v>
      </c>
      <c r="D334" s="143" t="s">
        <v>726</v>
      </c>
      <c r="E334" s="141" t="s">
        <v>1598</v>
      </c>
      <c r="F334" s="221" t="s">
        <v>1599</v>
      </c>
      <c r="G334" s="144">
        <v>1</v>
      </c>
      <c r="H334" s="145">
        <v>3</v>
      </c>
      <c r="I334" s="146">
        <f t="shared" si="59"/>
        <v>8.6162997989817271E-5</v>
      </c>
      <c r="J334" s="146">
        <f t="shared" si="60"/>
        <v>9.101740161701517E-5</v>
      </c>
      <c r="K334" s="146">
        <f t="shared" si="61"/>
        <v>3.4230944774075767E-4</v>
      </c>
    </row>
    <row r="335" spans="1:11" x14ac:dyDescent="0.2">
      <c r="A335" s="141" t="s">
        <v>1435</v>
      </c>
      <c r="B335" s="143" t="s">
        <v>222</v>
      </c>
      <c r="C335" s="141" t="s">
        <v>68</v>
      </c>
      <c r="D335" s="143" t="s">
        <v>726</v>
      </c>
      <c r="E335" s="141" t="s">
        <v>1063</v>
      </c>
      <c r="F335" s="221" t="s">
        <v>572</v>
      </c>
      <c r="G335" s="144">
        <v>22</v>
      </c>
      <c r="H335" s="145">
        <v>66</v>
      </c>
      <c r="I335" s="146">
        <f t="shared" si="59"/>
        <v>1.8955859557759798E-3</v>
      </c>
      <c r="J335" s="146">
        <f t="shared" si="60"/>
        <v>2.0023828355743337E-3</v>
      </c>
      <c r="K335" s="146">
        <f t="shared" si="61"/>
        <v>7.5308078502966686E-3</v>
      </c>
    </row>
    <row r="336" spans="1:11" x14ac:dyDescent="0.2">
      <c r="A336" s="141" t="s">
        <v>1435</v>
      </c>
      <c r="B336" s="143" t="s">
        <v>222</v>
      </c>
      <c r="C336" s="141" t="s">
        <v>68</v>
      </c>
      <c r="D336" s="143" t="s">
        <v>726</v>
      </c>
      <c r="E336" s="141" t="s">
        <v>1064</v>
      </c>
      <c r="F336" s="221" t="s">
        <v>1065</v>
      </c>
      <c r="G336" s="144">
        <v>55</v>
      </c>
      <c r="H336" s="145">
        <v>165</v>
      </c>
      <c r="I336" s="146">
        <f t="shared" si="59"/>
        <v>4.7389648894399497E-3</v>
      </c>
      <c r="J336" s="146">
        <f t="shared" si="60"/>
        <v>5.0059570889358345E-3</v>
      </c>
      <c r="K336" s="146">
        <f t="shared" si="61"/>
        <v>1.8827019625741671E-2</v>
      </c>
    </row>
    <row r="337" spans="1:11" x14ac:dyDescent="0.2">
      <c r="A337" s="141" t="s">
        <v>1435</v>
      </c>
      <c r="B337" s="143" t="s">
        <v>222</v>
      </c>
      <c r="C337" s="141" t="s">
        <v>68</v>
      </c>
      <c r="D337" s="143" t="s">
        <v>726</v>
      </c>
      <c r="E337" s="141" t="s">
        <v>1066</v>
      </c>
      <c r="F337" s="221" t="s">
        <v>1067</v>
      </c>
      <c r="G337" s="144">
        <v>52</v>
      </c>
      <c r="H337" s="145">
        <v>52</v>
      </c>
      <c r="I337" s="146">
        <f t="shared" si="59"/>
        <v>1.4934919651568327E-3</v>
      </c>
      <c r="J337" s="146">
        <f t="shared" si="60"/>
        <v>1.5776349613615963E-3</v>
      </c>
      <c r="K337" s="146">
        <f t="shared" si="61"/>
        <v>5.9333637608397988E-3</v>
      </c>
    </row>
    <row r="338" spans="1:11" x14ac:dyDescent="0.2">
      <c r="A338" s="141" t="s">
        <v>1435</v>
      </c>
      <c r="B338" s="143" t="s">
        <v>222</v>
      </c>
      <c r="C338" s="141" t="s">
        <v>68</v>
      </c>
      <c r="D338" s="143" t="s">
        <v>726</v>
      </c>
      <c r="E338" s="141" t="s">
        <v>1068</v>
      </c>
      <c r="F338" s="221" t="s">
        <v>1010</v>
      </c>
      <c r="G338" s="144">
        <v>2</v>
      </c>
      <c r="H338" s="145">
        <v>3</v>
      </c>
      <c r="I338" s="146">
        <f t="shared" si="59"/>
        <v>8.6162997989817271E-5</v>
      </c>
      <c r="J338" s="146">
        <f t="shared" si="60"/>
        <v>9.101740161701517E-5</v>
      </c>
      <c r="K338" s="146">
        <f t="shared" si="61"/>
        <v>3.4230944774075767E-4</v>
      </c>
    </row>
    <row r="339" spans="1:11" x14ac:dyDescent="0.2">
      <c r="A339" s="141" t="s">
        <v>1435</v>
      </c>
      <c r="B339" s="143" t="s">
        <v>222</v>
      </c>
      <c r="C339" s="141" t="s">
        <v>68</v>
      </c>
      <c r="D339" s="143" t="s">
        <v>726</v>
      </c>
      <c r="E339" s="141" t="s">
        <v>1069</v>
      </c>
      <c r="F339" s="221" t="s">
        <v>1070</v>
      </c>
      <c r="G339" s="144">
        <v>16</v>
      </c>
      <c r="H339" s="145">
        <v>48</v>
      </c>
      <c r="I339" s="146">
        <f t="shared" si="59"/>
        <v>1.3786079678370763E-3</v>
      </c>
      <c r="J339" s="146">
        <f t="shared" si="60"/>
        <v>1.4562784258722427E-3</v>
      </c>
      <c r="K339" s="146">
        <f t="shared" si="61"/>
        <v>5.4769511638521227E-3</v>
      </c>
    </row>
    <row r="340" spans="1:11" x14ac:dyDescent="0.2">
      <c r="A340" s="141" t="s">
        <v>1435</v>
      </c>
      <c r="B340" s="143" t="s">
        <v>222</v>
      </c>
      <c r="C340" s="141" t="s">
        <v>68</v>
      </c>
      <c r="D340" s="143" t="s">
        <v>726</v>
      </c>
      <c r="E340" s="141" t="s">
        <v>1071</v>
      </c>
      <c r="F340" s="221" t="s">
        <v>1072</v>
      </c>
      <c r="G340" s="144">
        <v>13</v>
      </c>
      <c r="H340" s="145">
        <v>39</v>
      </c>
      <c r="I340" s="146">
        <f t="shared" si="59"/>
        <v>1.1201189738676244E-3</v>
      </c>
      <c r="J340" s="146">
        <f t="shared" si="60"/>
        <v>1.1832262210211971E-3</v>
      </c>
      <c r="K340" s="146">
        <f t="shared" si="61"/>
        <v>4.4500228206298493E-3</v>
      </c>
    </row>
    <row r="341" spans="1:11" ht="24" x14ac:dyDescent="0.2">
      <c r="A341" s="295" t="s">
        <v>1435</v>
      </c>
      <c r="B341" s="294" t="s">
        <v>222</v>
      </c>
      <c r="C341" s="295" t="s">
        <v>68</v>
      </c>
      <c r="D341" s="294" t="s">
        <v>726</v>
      </c>
      <c r="E341" s="295" t="s">
        <v>1600</v>
      </c>
      <c r="F341" s="296" t="s">
        <v>1601</v>
      </c>
      <c r="G341" s="297">
        <v>7</v>
      </c>
      <c r="H341" s="298">
        <v>21</v>
      </c>
      <c r="I341" s="299">
        <f t="shared" si="59"/>
        <v>6.0314098592872088E-4</v>
      </c>
      <c r="J341" s="299">
        <f t="shared" si="60"/>
        <v>6.3712181131910623E-4</v>
      </c>
      <c r="K341" s="299">
        <f t="shared" si="61"/>
        <v>2.3961661341853034E-3</v>
      </c>
    </row>
    <row r="342" spans="1:11" x14ac:dyDescent="0.2">
      <c r="A342" s="542"/>
      <c r="B342" s="543"/>
      <c r="C342" s="542"/>
      <c r="D342" s="716" t="s">
        <v>1488</v>
      </c>
      <c r="E342" s="716"/>
      <c r="F342" s="716"/>
      <c r="G342" s="544">
        <f>SUM(G320:G341)</f>
        <v>1002</v>
      </c>
      <c r="H342" s="544">
        <f>SUM(H320:H341)</f>
        <v>3274</v>
      </c>
      <c r="I342" s="545">
        <f t="shared" si="59"/>
        <v>9.4032551806220582E-2</v>
      </c>
      <c r="J342" s="545">
        <f t="shared" si="60"/>
        <v>9.9330324298035885E-2</v>
      </c>
      <c r="K342" s="545">
        <f t="shared" si="61"/>
        <v>0.37357371063441352</v>
      </c>
    </row>
    <row r="343" spans="1:11" ht="26.45" customHeight="1" x14ac:dyDescent="0.2">
      <c r="A343" s="334" t="s">
        <v>1435</v>
      </c>
      <c r="B343" s="326" t="s">
        <v>222</v>
      </c>
      <c r="C343" s="334" t="s">
        <v>68</v>
      </c>
      <c r="D343" s="326" t="s">
        <v>490</v>
      </c>
      <c r="E343" s="334" t="s">
        <v>1074</v>
      </c>
      <c r="F343" s="335" t="s">
        <v>1075</v>
      </c>
      <c r="G343" s="336">
        <v>32</v>
      </c>
      <c r="H343" s="337">
        <v>64</v>
      </c>
      <c r="I343" s="170">
        <f t="shared" si="59"/>
        <v>1.8381439571161016E-3</v>
      </c>
      <c r="J343" s="170">
        <f t="shared" si="60"/>
        <v>1.9417045678296568E-3</v>
      </c>
      <c r="K343" s="170">
        <f t="shared" si="61"/>
        <v>7.3026015518028297E-3</v>
      </c>
    </row>
    <row r="344" spans="1:11" ht="24" x14ac:dyDescent="0.2">
      <c r="A344" s="141" t="s">
        <v>1435</v>
      </c>
      <c r="B344" s="143" t="s">
        <v>222</v>
      </c>
      <c r="C344" s="141" t="s">
        <v>68</v>
      </c>
      <c r="D344" s="143" t="s">
        <v>490</v>
      </c>
      <c r="E344" s="141" t="s">
        <v>1076</v>
      </c>
      <c r="F344" s="221" t="s">
        <v>1077</v>
      </c>
      <c r="G344" s="144">
        <v>8</v>
      </c>
      <c r="H344" s="145">
        <v>24</v>
      </c>
      <c r="I344" s="146">
        <f t="shared" si="59"/>
        <v>6.8930398391853817E-4</v>
      </c>
      <c r="J344" s="146">
        <f t="shared" si="60"/>
        <v>7.2813921293612136E-4</v>
      </c>
      <c r="K344" s="146">
        <f t="shared" si="61"/>
        <v>2.7384755819260614E-3</v>
      </c>
    </row>
    <row r="345" spans="1:11" ht="24" x14ac:dyDescent="0.2">
      <c r="A345" s="141" t="s">
        <v>1435</v>
      </c>
      <c r="B345" s="143" t="s">
        <v>222</v>
      </c>
      <c r="C345" s="141" t="s">
        <v>68</v>
      </c>
      <c r="D345" s="143" t="s">
        <v>490</v>
      </c>
      <c r="E345" s="141" t="s">
        <v>1078</v>
      </c>
      <c r="F345" s="221" t="s">
        <v>1079</v>
      </c>
      <c r="G345" s="144">
        <v>21</v>
      </c>
      <c r="H345" s="145">
        <v>42</v>
      </c>
      <c r="I345" s="146">
        <f t="shared" si="59"/>
        <v>1.2062819718574418E-3</v>
      </c>
      <c r="J345" s="146">
        <f t="shared" si="60"/>
        <v>1.2742436226382125E-3</v>
      </c>
      <c r="K345" s="146">
        <f t="shared" si="61"/>
        <v>4.7923322683706068E-3</v>
      </c>
    </row>
    <row r="346" spans="1:11" ht="24" x14ac:dyDescent="0.2">
      <c r="A346" s="141" t="s">
        <v>1435</v>
      </c>
      <c r="B346" s="143" t="s">
        <v>222</v>
      </c>
      <c r="C346" s="141" t="s">
        <v>68</v>
      </c>
      <c r="D346" s="143" t="s">
        <v>490</v>
      </c>
      <c r="E346" s="141" t="s">
        <v>1080</v>
      </c>
      <c r="F346" s="221" t="s">
        <v>1081</v>
      </c>
      <c r="G346" s="144">
        <v>3</v>
      </c>
      <c r="H346" s="145">
        <v>6</v>
      </c>
      <c r="I346" s="146">
        <f t="shared" si="59"/>
        <v>1.7232599597963454E-4</v>
      </c>
      <c r="J346" s="146">
        <f t="shared" si="60"/>
        <v>1.8203480323403034E-4</v>
      </c>
      <c r="K346" s="146">
        <f t="shared" si="61"/>
        <v>6.8461889548151534E-4</v>
      </c>
    </row>
    <row r="347" spans="1:11" ht="24" x14ac:dyDescent="0.2">
      <c r="A347" s="141" t="s">
        <v>1435</v>
      </c>
      <c r="B347" s="143" t="s">
        <v>222</v>
      </c>
      <c r="C347" s="141" t="s">
        <v>68</v>
      </c>
      <c r="D347" s="143" t="s">
        <v>490</v>
      </c>
      <c r="E347" s="141" t="s">
        <v>1082</v>
      </c>
      <c r="F347" s="221" t="s">
        <v>1083</v>
      </c>
      <c r="G347" s="144">
        <v>21</v>
      </c>
      <c r="H347" s="145">
        <v>63</v>
      </c>
      <c r="I347" s="146">
        <f t="shared" si="59"/>
        <v>1.8094229577861626E-3</v>
      </c>
      <c r="J347" s="146">
        <f t="shared" si="60"/>
        <v>1.9113654339573186E-3</v>
      </c>
      <c r="K347" s="146">
        <f t="shared" si="61"/>
        <v>7.1884984025559102E-3</v>
      </c>
    </row>
    <row r="348" spans="1:11" ht="24" x14ac:dyDescent="0.2">
      <c r="A348" s="141" t="s">
        <v>1435</v>
      </c>
      <c r="B348" s="143" t="s">
        <v>222</v>
      </c>
      <c r="C348" s="141" t="s">
        <v>68</v>
      </c>
      <c r="D348" s="143" t="s">
        <v>490</v>
      </c>
      <c r="E348" s="141" t="s">
        <v>1084</v>
      </c>
      <c r="F348" s="221" t="s">
        <v>1085</v>
      </c>
      <c r="G348" s="144">
        <v>21</v>
      </c>
      <c r="H348" s="145">
        <v>42</v>
      </c>
      <c r="I348" s="146">
        <f t="shared" si="59"/>
        <v>1.2062819718574418E-3</v>
      </c>
      <c r="J348" s="146">
        <f t="shared" si="60"/>
        <v>1.2742436226382125E-3</v>
      </c>
      <c r="K348" s="146">
        <f t="shared" si="61"/>
        <v>4.7923322683706068E-3</v>
      </c>
    </row>
    <row r="349" spans="1:11" x14ac:dyDescent="0.2">
      <c r="A349" s="141" t="s">
        <v>1435</v>
      </c>
      <c r="B349" s="143" t="s">
        <v>222</v>
      </c>
      <c r="C349" s="141" t="s">
        <v>68</v>
      </c>
      <c r="D349" s="141" t="s">
        <v>490</v>
      </c>
      <c r="E349" s="141" t="s">
        <v>1086</v>
      </c>
      <c r="F349" s="221" t="s">
        <v>573</v>
      </c>
      <c r="G349" s="144">
        <v>3</v>
      </c>
      <c r="H349" s="145">
        <v>9</v>
      </c>
      <c r="I349" s="146">
        <f t="shared" si="59"/>
        <v>2.584889939694518E-4</v>
      </c>
      <c r="J349" s="146">
        <f t="shared" si="60"/>
        <v>2.730522048510455E-4</v>
      </c>
      <c r="K349" s="146">
        <f t="shared" si="61"/>
        <v>1.026928343222273E-3</v>
      </c>
    </row>
    <row r="350" spans="1:11" x14ac:dyDescent="0.2">
      <c r="A350" s="141" t="s">
        <v>1435</v>
      </c>
      <c r="B350" s="143" t="s">
        <v>222</v>
      </c>
      <c r="C350" s="141" t="s">
        <v>68</v>
      </c>
      <c r="D350" s="141" t="s">
        <v>490</v>
      </c>
      <c r="E350" s="141" t="s">
        <v>1087</v>
      </c>
      <c r="F350" s="221" t="s">
        <v>1088</v>
      </c>
      <c r="G350" s="144">
        <v>14</v>
      </c>
      <c r="H350" s="145">
        <v>42</v>
      </c>
      <c r="I350" s="146">
        <f t="shared" si="59"/>
        <v>1.2062819718574418E-3</v>
      </c>
      <c r="J350" s="146">
        <f t="shared" si="60"/>
        <v>1.2742436226382125E-3</v>
      </c>
      <c r="K350" s="146">
        <f t="shared" si="61"/>
        <v>4.7923322683706068E-3</v>
      </c>
    </row>
    <row r="351" spans="1:11" x14ac:dyDescent="0.2">
      <c r="A351" s="157"/>
      <c r="B351" s="275"/>
      <c r="C351" s="157"/>
      <c r="D351" s="715" t="s">
        <v>1489</v>
      </c>
      <c r="E351" s="715"/>
      <c r="F351" s="715"/>
      <c r="G351" s="163">
        <f>SUM(G343:G350)</f>
        <v>123</v>
      </c>
      <c r="H351" s="163">
        <f>SUM(H343:H350)</f>
        <v>292</v>
      </c>
      <c r="I351" s="158">
        <f t="shared" si="59"/>
        <v>8.3865318043422135E-3</v>
      </c>
      <c r="J351" s="158">
        <f t="shared" si="60"/>
        <v>8.8590270907228097E-3</v>
      </c>
      <c r="K351" s="158">
        <f t="shared" si="61"/>
        <v>3.3318119580100412E-2</v>
      </c>
    </row>
    <row r="352" spans="1:11" hidden="1" x14ac:dyDescent="0.2">
      <c r="A352" s="141"/>
      <c r="B352" s="143" t="s">
        <v>222</v>
      </c>
      <c r="C352" s="201" t="s">
        <v>68</v>
      </c>
      <c r="D352" s="226"/>
      <c r="E352" s="222"/>
      <c r="F352" s="223"/>
      <c r="G352" s="224"/>
      <c r="H352" s="225"/>
      <c r="I352" s="146">
        <f t="shared" si="59"/>
        <v>0</v>
      </c>
      <c r="J352" s="146">
        <f t="shared" si="60"/>
        <v>0</v>
      </c>
      <c r="K352" s="146">
        <f t="shared" si="61"/>
        <v>0</v>
      </c>
    </row>
    <row r="353" spans="1:11" hidden="1" x14ac:dyDescent="0.2">
      <c r="A353" s="157"/>
      <c r="B353" s="275"/>
      <c r="C353" s="157"/>
      <c r="D353" s="713" t="s">
        <v>286</v>
      </c>
      <c r="E353" s="713"/>
      <c r="F353" s="713"/>
      <c r="G353" s="163">
        <f>G352</f>
        <v>0</v>
      </c>
      <c r="H353" s="163">
        <f>H352</f>
        <v>0</v>
      </c>
      <c r="I353" s="158">
        <f t="shared" si="59"/>
        <v>0</v>
      </c>
      <c r="J353" s="158">
        <f t="shared" si="60"/>
        <v>0</v>
      </c>
      <c r="K353" s="158">
        <f t="shared" si="61"/>
        <v>0</v>
      </c>
    </row>
    <row r="354" spans="1:11" x14ac:dyDescent="0.2">
      <c r="A354" s="141" t="s">
        <v>1435</v>
      </c>
      <c r="B354" s="143" t="s">
        <v>222</v>
      </c>
      <c r="C354" s="141" t="s">
        <v>68</v>
      </c>
      <c r="D354" s="143" t="s">
        <v>728</v>
      </c>
      <c r="E354" s="141" t="s">
        <v>1089</v>
      </c>
      <c r="F354" s="221" t="s">
        <v>1090</v>
      </c>
      <c r="G354" s="144">
        <v>61</v>
      </c>
      <c r="H354" s="145">
        <v>61</v>
      </c>
      <c r="I354" s="146">
        <f t="shared" si="59"/>
        <v>1.7519809591262845E-3</v>
      </c>
      <c r="J354" s="146">
        <f t="shared" si="60"/>
        <v>1.8506871662126417E-3</v>
      </c>
      <c r="K354" s="146">
        <f t="shared" si="61"/>
        <v>6.9602921040620722E-3</v>
      </c>
    </row>
    <row r="355" spans="1:11" x14ac:dyDescent="0.2">
      <c r="A355" s="295" t="s">
        <v>1435</v>
      </c>
      <c r="B355" s="294" t="s">
        <v>222</v>
      </c>
      <c r="C355" s="295" t="s">
        <v>68</v>
      </c>
      <c r="D355" s="294" t="s">
        <v>728</v>
      </c>
      <c r="E355" s="295" t="s">
        <v>1091</v>
      </c>
      <c r="F355" s="296" t="s">
        <v>574</v>
      </c>
      <c r="G355" s="297">
        <v>106</v>
      </c>
      <c r="H355" s="298">
        <v>424</v>
      </c>
      <c r="I355" s="299">
        <f t="shared" si="59"/>
        <v>1.2177703715894174E-2</v>
      </c>
      <c r="J355" s="299">
        <f t="shared" si="60"/>
        <v>1.2863792761871478E-2</v>
      </c>
      <c r="K355" s="299">
        <f t="shared" si="61"/>
        <v>4.8379735280693746E-2</v>
      </c>
    </row>
    <row r="356" spans="1:11" x14ac:dyDescent="0.2">
      <c r="A356" s="542"/>
      <c r="B356" s="543"/>
      <c r="C356" s="542"/>
      <c r="D356" s="716" t="s">
        <v>1490</v>
      </c>
      <c r="E356" s="716"/>
      <c r="F356" s="716"/>
      <c r="G356" s="544">
        <f>SUM(G354:G355)</f>
        <v>167</v>
      </c>
      <c r="H356" s="544">
        <f>SUM(H354:H355)</f>
        <v>485</v>
      </c>
      <c r="I356" s="545">
        <f t="shared" si="59"/>
        <v>1.3929684675020457E-2</v>
      </c>
      <c r="J356" s="545">
        <f t="shared" si="60"/>
        <v>1.4714479928084119E-2</v>
      </c>
      <c r="K356" s="545">
        <f t="shared" si="61"/>
        <v>5.5340027384755817E-2</v>
      </c>
    </row>
    <row r="357" spans="1:11" x14ac:dyDescent="0.2">
      <c r="A357" s="159"/>
      <c r="B357" s="276"/>
      <c r="C357" s="711" t="s">
        <v>248</v>
      </c>
      <c r="D357" s="711"/>
      <c r="E357" s="711"/>
      <c r="F357" s="711"/>
      <c r="G357" s="165">
        <f>G270+G292+G306+G319+G342+G351+G356+G353</f>
        <v>3395</v>
      </c>
      <c r="H357" s="165">
        <f>H270+H292+H306+H319+H342+H351+H356+H353</f>
        <v>8499</v>
      </c>
      <c r="I357" s="160">
        <f t="shared" si="59"/>
        <v>0.24409977330515231</v>
      </c>
      <c r="J357" s="160">
        <f t="shared" si="60"/>
        <v>0.25785229878100396</v>
      </c>
      <c r="K357" s="160">
        <f t="shared" si="61"/>
        <v>0.96976266544956646</v>
      </c>
    </row>
    <row r="358" spans="1:11" ht="24" x14ac:dyDescent="0.2">
      <c r="A358" s="141" t="s">
        <v>1435</v>
      </c>
      <c r="B358" s="143" t="s">
        <v>222</v>
      </c>
      <c r="C358" s="141" t="s">
        <v>67</v>
      </c>
      <c r="D358" s="143" t="s">
        <v>722</v>
      </c>
      <c r="E358" s="141" t="s">
        <v>1602</v>
      </c>
      <c r="F358" s="221" t="s">
        <v>1584</v>
      </c>
      <c r="G358" s="144">
        <v>1</v>
      </c>
      <c r="H358" s="145">
        <v>4</v>
      </c>
      <c r="I358" s="146">
        <f t="shared" si="59"/>
        <v>1.1488399731975635E-4</v>
      </c>
      <c r="J358" s="146">
        <f>H358/$H$635</f>
        <v>2.1540118470651588E-3</v>
      </c>
      <c r="K358" s="146">
        <f t="shared" si="61"/>
        <v>4.5641259698767686E-4</v>
      </c>
    </row>
    <row r="359" spans="1:11" ht="24" x14ac:dyDescent="0.2">
      <c r="A359" s="141" t="s">
        <v>1435</v>
      </c>
      <c r="B359" s="143" t="s">
        <v>222</v>
      </c>
      <c r="C359" s="141" t="s">
        <v>67</v>
      </c>
      <c r="D359" s="143" t="s">
        <v>722</v>
      </c>
      <c r="E359" s="141" t="s">
        <v>1603</v>
      </c>
      <c r="F359" s="221" t="s">
        <v>1604</v>
      </c>
      <c r="G359" s="144">
        <v>3</v>
      </c>
      <c r="H359" s="145">
        <v>9</v>
      </c>
      <c r="I359" s="146">
        <f t="shared" si="59"/>
        <v>2.584889939694518E-4</v>
      </c>
      <c r="J359" s="146">
        <f>H359/$H$635</f>
        <v>4.8465266558966073E-3</v>
      </c>
      <c r="K359" s="146">
        <f t="shared" si="61"/>
        <v>1.026928343222273E-3</v>
      </c>
    </row>
    <row r="360" spans="1:11" ht="24" x14ac:dyDescent="0.2">
      <c r="A360" s="141" t="s">
        <v>1435</v>
      </c>
      <c r="B360" s="143" t="s">
        <v>222</v>
      </c>
      <c r="C360" s="141" t="s">
        <v>67</v>
      </c>
      <c r="D360" s="143" t="s">
        <v>722</v>
      </c>
      <c r="E360" s="141" t="s">
        <v>1092</v>
      </c>
      <c r="F360" s="221" t="s">
        <v>550</v>
      </c>
      <c r="G360" s="144">
        <v>7</v>
      </c>
      <c r="H360" s="145">
        <v>12</v>
      </c>
      <c r="I360" s="146">
        <f t="shared" si="59"/>
        <v>3.4465199195926908E-4</v>
      </c>
      <c r="J360" s="146">
        <f>H360/$H$635</f>
        <v>6.462035541195477E-3</v>
      </c>
      <c r="K360" s="146">
        <f t="shared" si="61"/>
        <v>1.3692377909630307E-3</v>
      </c>
    </row>
    <row r="361" spans="1:11" hidden="1" x14ac:dyDescent="0.2">
      <c r="A361" s="141"/>
      <c r="B361" s="143"/>
      <c r="C361" s="141"/>
      <c r="D361" s="143"/>
      <c r="E361" s="141"/>
      <c r="F361" s="221"/>
      <c r="G361" s="144"/>
      <c r="H361" s="145"/>
      <c r="I361" s="146"/>
      <c r="J361" s="146"/>
      <c r="K361" s="146"/>
    </row>
    <row r="362" spans="1:11" x14ac:dyDescent="0.2">
      <c r="A362" s="157"/>
      <c r="B362" s="275"/>
      <c r="C362" s="157"/>
      <c r="D362" s="715" t="s">
        <v>1484</v>
      </c>
      <c r="E362" s="715"/>
      <c r="F362" s="715"/>
      <c r="G362" s="163">
        <f>SUM(G358:G361)</f>
        <v>11</v>
      </c>
      <c r="H362" s="163">
        <f>SUM(H358:H361)</f>
        <v>25</v>
      </c>
      <c r="I362" s="158">
        <f t="shared" ref="I362:I368" si="62">H362/$H$633</f>
        <v>7.1802498324847726E-4</v>
      </c>
      <c r="J362" s="158">
        <f t="shared" ref="J362:J368" si="63">H362/$H$635</f>
        <v>1.3462574044157244E-2</v>
      </c>
      <c r="K362" s="158">
        <f t="shared" ref="K362:K368" si="64">H362/$H$384</f>
        <v>2.8525787311729804E-3</v>
      </c>
    </row>
    <row r="363" spans="1:11" x14ac:dyDescent="0.2">
      <c r="A363" s="141" t="s">
        <v>1435</v>
      </c>
      <c r="B363" s="143" t="s">
        <v>222</v>
      </c>
      <c r="C363" s="141" t="s">
        <v>67</v>
      </c>
      <c r="D363" s="143" t="s">
        <v>723</v>
      </c>
      <c r="E363" s="141" t="s">
        <v>1093</v>
      </c>
      <c r="F363" s="221" t="s">
        <v>1094</v>
      </c>
      <c r="G363" s="144">
        <v>12</v>
      </c>
      <c r="H363" s="145">
        <v>48</v>
      </c>
      <c r="I363" s="146">
        <f t="shared" si="62"/>
        <v>1.3786079678370763E-3</v>
      </c>
      <c r="J363" s="146">
        <f t="shared" si="63"/>
        <v>2.5848142164781908E-2</v>
      </c>
      <c r="K363" s="146">
        <f t="shared" si="64"/>
        <v>5.4769511638521227E-3</v>
      </c>
    </row>
    <row r="364" spans="1:11" x14ac:dyDescent="0.2">
      <c r="A364" s="141" t="s">
        <v>1435</v>
      </c>
      <c r="B364" s="143" t="s">
        <v>222</v>
      </c>
      <c r="C364" s="141" t="s">
        <v>67</v>
      </c>
      <c r="D364" s="143" t="s">
        <v>723</v>
      </c>
      <c r="E364" s="141" t="s">
        <v>1095</v>
      </c>
      <c r="F364" s="221" t="s">
        <v>1096</v>
      </c>
      <c r="G364" s="144">
        <v>2</v>
      </c>
      <c r="H364" s="145">
        <v>6</v>
      </c>
      <c r="I364" s="146">
        <f t="shared" si="62"/>
        <v>1.7232599597963454E-4</v>
      </c>
      <c r="J364" s="146">
        <f t="shared" si="63"/>
        <v>3.2310177705977385E-3</v>
      </c>
      <c r="K364" s="146">
        <f t="shared" si="64"/>
        <v>6.8461889548151534E-4</v>
      </c>
    </row>
    <row r="365" spans="1:11" x14ac:dyDescent="0.2">
      <c r="A365" s="141" t="s">
        <v>1435</v>
      </c>
      <c r="B365" s="143" t="s">
        <v>222</v>
      </c>
      <c r="C365" s="141" t="s">
        <v>67</v>
      </c>
      <c r="D365" s="143" t="s">
        <v>723</v>
      </c>
      <c r="E365" s="141" t="s">
        <v>1605</v>
      </c>
      <c r="F365" s="221" t="s">
        <v>1606</v>
      </c>
      <c r="G365" s="144">
        <v>9</v>
      </c>
      <c r="H365" s="145">
        <v>27</v>
      </c>
      <c r="I365" s="146">
        <f t="shared" si="62"/>
        <v>7.7546698190835545E-4</v>
      </c>
      <c r="J365" s="146">
        <f t="shared" si="63"/>
        <v>1.4539579967689823E-2</v>
      </c>
      <c r="K365" s="146">
        <f t="shared" si="64"/>
        <v>3.0807850296668189E-3</v>
      </c>
    </row>
    <row r="366" spans="1:11" x14ac:dyDescent="0.2">
      <c r="A366" s="141" t="s">
        <v>1435</v>
      </c>
      <c r="B366" s="143" t="s">
        <v>222</v>
      </c>
      <c r="C366" s="141" t="s">
        <v>67</v>
      </c>
      <c r="D366" s="143" t="s">
        <v>723</v>
      </c>
      <c r="E366" s="141" t="s">
        <v>1607</v>
      </c>
      <c r="F366" s="221" t="s">
        <v>1608</v>
      </c>
      <c r="G366" s="144">
        <v>7</v>
      </c>
      <c r="H366" s="145">
        <v>28</v>
      </c>
      <c r="I366" s="146">
        <f t="shared" si="62"/>
        <v>8.0418798123829444E-4</v>
      </c>
      <c r="J366" s="146">
        <f t="shared" si="63"/>
        <v>1.5078082929456112E-2</v>
      </c>
      <c r="K366" s="146">
        <f t="shared" si="64"/>
        <v>3.1948881789137379E-3</v>
      </c>
    </row>
    <row r="367" spans="1:11" x14ac:dyDescent="0.2">
      <c r="A367" s="141" t="s">
        <v>1435</v>
      </c>
      <c r="B367" s="143" t="s">
        <v>222</v>
      </c>
      <c r="C367" s="141" t="s">
        <v>67</v>
      </c>
      <c r="D367" s="143" t="s">
        <v>723</v>
      </c>
      <c r="E367" s="141" t="s">
        <v>1097</v>
      </c>
      <c r="F367" s="221" t="s">
        <v>575</v>
      </c>
      <c r="G367" s="144">
        <v>11</v>
      </c>
      <c r="H367" s="145">
        <v>11</v>
      </c>
      <c r="I367" s="146">
        <f t="shared" si="62"/>
        <v>3.1593099262932999E-4</v>
      </c>
      <c r="J367" s="146">
        <f t="shared" si="63"/>
        <v>5.9235325794291865E-3</v>
      </c>
      <c r="K367" s="146">
        <f t="shared" si="64"/>
        <v>1.2551346417161114E-3</v>
      </c>
    </row>
    <row r="368" spans="1:11" x14ac:dyDescent="0.2">
      <c r="A368" s="141" t="s">
        <v>1435</v>
      </c>
      <c r="B368" s="143" t="s">
        <v>222</v>
      </c>
      <c r="C368" s="141" t="s">
        <v>67</v>
      </c>
      <c r="D368" s="143" t="s">
        <v>723</v>
      </c>
      <c r="E368" s="141" t="s">
        <v>1098</v>
      </c>
      <c r="F368" s="221" t="s">
        <v>550</v>
      </c>
      <c r="G368" s="144">
        <v>26</v>
      </c>
      <c r="H368" s="145">
        <v>36</v>
      </c>
      <c r="I368" s="146">
        <f t="shared" si="62"/>
        <v>1.0339559758778072E-3</v>
      </c>
      <c r="J368" s="146">
        <f t="shared" si="63"/>
        <v>1.9386106623586429E-2</v>
      </c>
      <c r="K368" s="146">
        <f t="shared" si="64"/>
        <v>4.1077133728890918E-3</v>
      </c>
    </row>
    <row r="369" spans="1:11" hidden="1" x14ac:dyDescent="0.2">
      <c r="A369" s="141"/>
      <c r="B369" s="143"/>
      <c r="C369" s="141"/>
      <c r="D369" s="143"/>
      <c r="E369" s="141"/>
      <c r="F369" s="221"/>
      <c r="G369" s="144"/>
      <c r="H369" s="145"/>
      <c r="I369" s="146"/>
      <c r="J369" s="146"/>
      <c r="K369" s="146"/>
    </row>
    <row r="370" spans="1:11" hidden="1" x14ac:dyDescent="0.2">
      <c r="A370" s="141"/>
      <c r="B370" s="143"/>
      <c r="C370" s="141"/>
      <c r="D370" s="143"/>
      <c r="E370" s="141"/>
      <c r="F370" s="221"/>
      <c r="G370" s="144"/>
      <c r="H370" s="145"/>
      <c r="I370" s="146"/>
      <c r="J370" s="146"/>
      <c r="K370" s="146"/>
    </row>
    <row r="371" spans="1:11" hidden="1" x14ac:dyDescent="0.2">
      <c r="A371" s="141"/>
      <c r="B371" s="143"/>
      <c r="C371" s="141"/>
      <c r="D371" s="143"/>
      <c r="E371" s="141"/>
      <c r="F371" s="221"/>
      <c r="G371" s="144"/>
      <c r="H371" s="145"/>
      <c r="I371" s="146"/>
      <c r="J371" s="146"/>
      <c r="K371" s="146"/>
    </row>
    <row r="372" spans="1:11" hidden="1" x14ac:dyDescent="0.2">
      <c r="A372" s="141"/>
      <c r="B372" s="143"/>
      <c r="C372" s="141"/>
      <c r="D372" s="143"/>
      <c r="E372" s="222"/>
      <c r="F372" s="223"/>
      <c r="G372" s="224"/>
      <c r="H372" s="225"/>
      <c r="I372" s="146"/>
      <c r="J372" s="146"/>
      <c r="K372" s="146"/>
    </row>
    <row r="373" spans="1:11" x14ac:dyDescent="0.2">
      <c r="A373" s="157"/>
      <c r="B373" s="275"/>
      <c r="C373" s="157"/>
      <c r="D373" s="715" t="s">
        <v>1485</v>
      </c>
      <c r="E373" s="715"/>
      <c r="F373" s="715"/>
      <c r="G373" s="163">
        <f>SUM(G363:G372)</f>
        <v>67</v>
      </c>
      <c r="H373" s="163">
        <f>SUM(H363:H372)</f>
        <v>156</v>
      </c>
      <c r="I373" s="158">
        <f t="shared" ref="I373:I380" si="65">H373/$H$633</f>
        <v>4.4804758954704975E-3</v>
      </c>
      <c r="J373" s="158">
        <f t="shared" ref="J373:J380" si="66">H373/$H$635</f>
        <v>8.4006462035541199E-2</v>
      </c>
      <c r="K373" s="158">
        <f t="shared" ref="K373:K380" si="67">H373/$H$384</f>
        <v>1.7800091282519397E-2</v>
      </c>
    </row>
    <row r="374" spans="1:11" x14ac:dyDescent="0.2">
      <c r="A374" s="141" t="s">
        <v>1435</v>
      </c>
      <c r="B374" s="143" t="s">
        <v>222</v>
      </c>
      <c r="C374" s="141" t="s">
        <v>67</v>
      </c>
      <c r="D374" s="143" t="s">
        <v>729</v>
      </c>
      <c r="E374" s="141" t="s">
        <v>1609</v>
      </c>
      <c r="F374" s="221" t="s">
        <v>1556</v>
      </c>
      <c r="G374" s="144">
        <v>2</v>
      </c>
      <c r="H374" s="145">
        <v>6</v>
      </c>
      <c r="I374" s="146">
        <f t="shared" si="65"/>
        <v>1.7232599597963454E-4</v>
      </c>
      <c r="J374" s="146">
        <f t="shared" si="66"/>
        <v>3.2310177705977385E-3</v>
      </c>
      <c r="K374" s="146">
        <f t="shared" si="67"/>
        <v>6.8461889548151534E-4</v>
      </c>
    </row>
    <row r="375" spans="1:11" x14ac:dyDescent="0.2">
      <c r="A375" s="141" t="s">
        <v>1435</v>
      </c>
      <c r="B375" s="143" t="s">
        <v>222</v>
      </c>
      <c r="C375" s="141" t="s">
        <v>67</v>
      </c>
      <c r="D375" s="143" t="s">
        <v>729</v>
      </c>
      <c r="E375" s="141" t="s">
        <v>1099</v>
      </c>
      <c r="F375" s="221" t="s">
        <v>1094</v>
      </c>
      <c r="G375" s="144">
        <v>5</v>
      </c>
      <c r="H375" s="145">
        <v>20</v>
      </c>
      <c r="I375" s="146">
        <f t="shared" si="65"/>
        <v>5.7441998659878179E-4</v>
      </c>
      <c r="J375" s="146">
        <f t="shared" si="66"/>
        <v>1.0770059235325794E-2</v>
      </c>
      <c r="K375" s="146">
        <f t="shared" si="67"/>
        <v>2.2820629849383844E-3</v>
      </c>
    </row>
    <row r="376" spans="1:11" x14ac:dyDescent="0.2">
      <c r="A376" s="141" t="s">
        <v>1435</v>
      </c>
      <c r="B376" s="143" t="s">
        <v>222</v>
      </c>
      <c r="C376" s="141" t="s">
        <v>67</v>
      </c>
      <c r="D376" s="143" t="s">
        <v>729</v>
      </c>
      <c r="E376" s="141" t="s">
        <v>1100</v>
      </c>
      <c r="F376" s="221" t="s">
        <v>1096</v>
      </c>
      <c r="G376" s="144">
        <v>5</v>
      </c>
      <c r="H376" s="145">
        <v>15</v>
      </c>
      <c r="I376" s="146">
        <f t="shared" si="65"/>
        <v>4.3081498994908631E-4</v>
      </c>
      <c r="J376" s="146">
        <f t="shared" si="66"/>
        <v>8.0775444264943458E-3</v>
      </c>
      <c r="K376" s="146">
        <f t="shared" si="67"/>
        <v>1.7115472387037882E-3</v>
      </c>
    </row>
    <row r="377" spans="1:11" ht="24" x14ac:dyDescent="0.2">
      <c r="A377" s="141" t="s">
        <v>1435</v>
      </c>
      <c r="B377" s="143" t="s">
        <v>222</v>
      </c>
      <c r="C377" s="141" t="s">
        <v>67</v>
      </c>
      <c r="D377" s="143" t="s">
        <v>729</v>
      </c>
      <c r="E377" s="141" t="s">
        <v>1101</v>
      </c>
      <c r="F377" s="221" t="s">
        <v>1102</v>
      </c>
      <c r="G377" s="144">
        <v>5</v>
      </c>
      <c r="H377" s="145">
        <v>15</v>
      </c>
      <c r="I377" s="146">
        <f t="shared" si="65"/>
        <v>4.3081498994908631E-4</v>
      </c>
      <c r="J377" s="146">
        <f t="shared" si="66"/>
        <v>8.0775444264943458E-3</v>
      </c>
      <c r="K377" s="146">
        <f t="shared" si="67"/>
        <v>1.7115472387037882E-3</v>
      </c>
    </row>
    <row r="378" spans="1:11" x14ac:dyDescent="0.2">
      <c r="A378" s="141" t="s">
        <v>1435</v>
      </c>
      <c r="B378" s="143" t="s">
        <v>222</v>
      </c>
      <c r="C378" s="141" t="s">
        <v>67</v>
      </c>
      <c r="D378" s="143" t="s">
        <v>729</v>
      </c>
      <c r="E378" s="141" t="s">
        <v>1610</v>
      </c>
      <c r="F378" s="221" t="s">
        <v>1611</v>
      </c>
      <c r="G378" s="144">
        <v>1</v>
      </c>
      <c r="H378" s="145">
        <v>3</v>
      </c>
      <c r="I378" s="146">
        <f t="shared" si="65"/>
        <v>8.6162997989817271E-5</v>
      </c>
      <c r="J378" s="146">
        <f t="shared" si="66"/>
        <v>1.6155088852988692E-3</v>
      </c>
      <c r="K378" s="146">
        <f t="shared" si="67"/>
        <v>3.4230944774075767E-4</v>
      </c>
    </row>
    <row r="379" spans="1:11" x14ac:dyDescent="0.2">
      <c r="A379" s="141" t="s">
        <v>1435</v>
      </c>
      <c r="B379" s="143" t="s">
        <v>222</v>
      </c>
      <c r="C379" s="141" t="s">
        <v>67</v>
      </c>
      <c r="D379" s="143" t="s">
        <v>729</v>
      </c>
      <c r="E379" s="141" t="s">
        <v>1612</v>
      </c>
      <c r="F379" s="221" t="s">
        <v>1613</v>
      </c>
      <c r="G379" s="144">
        <v>3</v>
      </c>
      <c r="H379" s="145">
        <v>9</v>
      </c>
      <c r="I379" s="146">
        <f t="shared" si="65"/>
        <v>2.584889939694518E-4</v>
      </c>
      <c r="J379" s="146">
        <f t="shared" si="66"/>
        <v>4.8465266558966073E-3</v>
      </c>
      <c r="K379" s="146">
        <f t="shared" si="67"/>
        <v>1.026928343222273E-3</v>
      </c>
    </row>
    <row r="380" spans="1:11" x14ac:dyDescent="0.2">
      <c r="A380" s="141" t="s">
        <v>1435</v>
      </c>
      <c r="B380" s="143" t="s">
        <v>222</v>
      </c>
      <c r="C380" s="141" t="s">
        <v>67</v>
      </c>
      <c r="D380" s="143" t="s">
        <v>729</v>
      </c>
      <c r="E380" s="141" t="s">
        <v>1103</v>
      </c>
      <c r="F380" s="221" t="s">
        <v>1104</v>
      </c>
      <c r="G380" s="144">
        <v>9</v>
      </c>
      <c r="H380" s="145">
        <v>16</v>
      </c>
      <c r="I380" s="146">
        <f t="shared" si="65"/>
        <v>4.5953598927902541E-4</v>
      </c>
      <c r="J380" s="146">
        <f t="shared" si="66"/>
        <v>8.6160473882606354E-3</v>
      </c>
      <c r="K380" s="146">
        <f t="shared" si="67"/>
        <v>1.8256503879507074E-3</v>
      </c>
    </row>
    <row r="381" spans="1:11" hidden="1" x14ac:dyDescent="0.2">
      <c r="A381" s="141"/>
      <c r="B381" s="143"/>
      <c r="C381" s="141"/>
      <c r="D381" s="143"/>
      <c r="E381" s="222"/>
      <c r="F381" s="223"/>
      <c r="G381" s="224"/>
      <c r="H381" s="225"/>
      <c r="I381" s="146"/>
      <c r="J381" s="146"/>
      <c r="K381" s="146"/>
    </row>
    <row r="382" spans="1:11" x14ac:dyDescent="0.2">
      <c r="A382" s="340"/>
      <c r="B382" s="341"/>
      <c r="C382" s="340"/>
      <c r="D382" s="710" t="s">
        <v>346</v>
      </c>
      <c r="E382" s="710"/>
      <c r="F382" s="710"/>
      <c r="G382" s="338">
        <f>SUM(G374:G381)</f>
        <v>30</v>
      </c>
      <c r="H382" s="338">
        <f>SUM(H374:H381)</f>
        <v>84</v>
      </c>
      <c r="I382" s="339">
        <f>H382/$H$633</f>
        <v>2.4125639437148835E-3</v>
      </c>
      <c r="J382" s="339">
        <f>H382/$H$635</f>
        <v>4.5234248788368334E-2</v>
      </c>
      <c r="K382" s="339">
        <f>H382/$H$384</f>
        <v>9.5846645367412137E-3</v>
      </c>
    </row>
    <row r="383" spans="1:11" x14ac:dyDescent="0.2">
      <c r="A383" s="159"/>
      <c r="B383" s="276"/>
      <c r="C383" s="711" t="s">
        <v>250</v>
      </c>
      <c r="D383" s="711"/>
      <c r="E383" s="711"/>
      <c r="F383" s="711"/>
      <c r="G383" s="165">
        <f>G362+G373+G382</f>
        <v>108</v>
      </c>
      <c r="H383" s="165">
        <f>H362+H373+H382</f>
        <v>265</v>
      </c>
      <c r="I383" s="160">
        <f>H383/$H$633</f>
        <v>7.6110648224338587E-3</v>
      </c>
      <c r="J383" s="160">
        <f>H383/$H$635</f>
        <v>0.14270328486806677</v>
      </c>
      <c r="K383" s="160">
        <f>H383/$H$384</f>
        <v>3.0237334550433592E-2</v>
      </c>
    </row>
    <row r="384" spans="1:11" x14ac:dyDescent="0.2">
      <c r="A384" s="161"/>
      <c r="B384" s="712" t="s">
        <v>283</v>
      </c>
      <c r="C384" s="712"/>
      <c r="D384" s="712"/>
      <c r="E384" s="712"/>
      <c r="F384" s="712"/>
      <c r="G384" s="166">
        <f>G357+G383</f>
        <v>3503</v>
      </c>
      <c r="H384" s="166">
        <f>H357+H383</f>
        <v>8764</v>
      </c>
      <c r="I384" s="169">
        <f>H384/$H$633</f>
        <v>0.25171083812758616</v>
      </c>
      <c r="J384" s="162"/>
      <c r="K384" s="162"/>
    </row>
    <row r="385" spans="1:11" x14ac:dyDescent="0.2">
      <c r="A385" s="141" t="s">
        <v>1435</v>
      </c>
      <c r="B385" s="143" t="s">
        <v>226</v>
      </c>
      <c r="C385" s="141" t="s">
        <v>68</v>
      </c>
      <c r="D385" s="143" t="s">
        <v>576</v>
      </c>
      <c r="E385" s="141" t="s">
        <v>1106</v>
      </c>
      <c r="F385" s="221" t="s">
        <v>576</v>
      </c>
      <c r="G385" s="144">
        <v>487</v>
      </c>
      <c r="H385" s="145">
        <v>1461</v>
      </c>
      <c r="I385" s="146">
        <f>H385/$H$633</f>
        <v>4.1961380021041009E-2</v>
      </c>
      <c r="J385" s="146">
        <f>H385/$H$634</f>
        <v>4.432547458748639E-2</v>
      </c>
      <c r="K385" s="146">
        <f>H385/$H$390</f>
        <v>0.98335498374536423</v>
      </c>
    </row>
    <row r="386" spans="1:11" ht="24" x14ac:dyDescent="0.2">
      <c r="A386" s="141" t="s">
        <v>1435</v>
      </c>
      <c r="B386" s="143" t="s">
        <v>226</v>
      </c>
      <c r="C386" s="141" t="s">
        <v>68</v>
      </c>
      <c r="D386" s="143" t="s">
        <v>731</v>
      </c>
      <c r="E386" s="141" t="s">
        <v>1107</v>
      </c>
      <c r="F386" s="221" t="s">
        <v>1108</v>
      </c>
      <c r="G386" s="144">
        <v>2</v>
      </c>
      <c r="H386" s="145">
        <v>24.73</v>
      </c>
      <c r="I386" s="146">
        <f>H386/$H$633</f>
        <v>7.102703134293937E-4</v>
      </c>
      <c r="J386" s="146">
        <f>H386/$H$634</f>
        <v>7.5028678066292836E-4</v>
      </c>
      <c r="K386" s="146">
        <f>H386/$H$390</f>
        <v>1.6645016254635769E-2</v>
      </c>
    </row>
    <row r="387" spans="1:11" hidden="1" x14ac:dyDescent="0.2">
      <c r="A387" s="295"/>
      <c r="B387" s="294"/>
      <c r="C387" s="295"/>
      <c r="D387" s="294"/>
      <c r="E387" s="295"/>
      <c r="F387" s="296"/>
      <c r="G387" s="297"/>
      <c r="H387" s="298"/>
      <c r="I387" s="299"/>
      <c r="J387" s="299"/>
      <c r="K387" s="299"/>
    </row>
    <row r="388" spans="1:11" x14ac:dyDescent="0.2">
      <c r="A388" s="542"/>
      <c r="B388" s="543"/>
      <c r="C388" s="542"/>
      <c r="D388" s="714" t="s">
        <v>1105</v>
      </c>
      <c r="E388" s="714"/>
      <c r="F388" s="714"/>
      <c r="G388" s="544">
        <f>SUM(G385:G387)</f>
        <v>489</v>
      </c>
      <c r="H388" s="544">
        <f>SUM(H385:H387)</f>
        <v>1485.73</v>
      </c>
      <c r="I388" s="545">
        <f t="shared" ref="I388:I419" si="68">H388/$H$633</f>
        <v>4.2671650334470401E-2</v>
      </c>
      <c r="J388" s="545">
        <f>H388/$H$634</f>
        <v>4.5075761368149316E-2</v>
      </c>
      <c r="K388" s="545">
        <f>H388/$H$390</f>
        <v>1</v>
      </c>
    </row>
    <row r="389" spans="1:11" x14ac:dyDescent="0.2">
      <c r="A389" s="159"/>
      <c r="B389" s="276"/>
      <c r="C389" s="711" t="s">
        <v>248</v>
      </c>
      <c r="D389" s="711"/>
      <c r="E389" s="711"/>
      <c r="F389" s="711"/>
      <c r="G389" s="165">
        <f t="shared" ref="G389:H390" si="69">G388</f>
        <v>489</v>
      </c>
      <c r="H389" s="165">
        <f t="shared" si="69"/>
        <v>1485.73</v>
      </c>
      <c r="I389" s="160">
        <f t="shared" si="68"/>
        <v>4.2671650334470401E-2</v>
      </c>
      <c r="J389" s="160">
        <f>H389/$H$634</f>
        <v>4.5075761368149316E-2</v>
      </c>
      <c r="K389" s="160">
        <f>H389/$H$390</f>
        <v>1</v>
      </c>
    </row>
    <row r="390" spans="1:11" x14ac:dyDescent="0.2">
      <c r="A390" s="161"/>
      <c r="B390" s="712" t="s">
        <v>282</v>
      </c>
      <c r="C390" s="712"/>
      <c r="D390" s="712"/>
      <c r="E390" s="712"/>
      <c r="F390" s="712"/>
      <c r="G390" s="162">
        <f t="shared" si="69"/>
        <v>489</v>
      </c>
      <c r="H390" s="166">
        <f t="shared" si="69"/>
        <v>1485.73</v>
      </c>
      <c r="I390" s="169">
        <f t="shared" si="68"/>
        <v>4.2671650334470401E-2</v>
      </c>
      <c r="J390" s="162"/>
      <c r="K390" s="162"/>
    </row>
    <row r="391" spans="1:11" x14ac:dyDescent="0.2">
      <c r="A391" s="141" t="s">
        <v>1435</v>
      </c>
      <c r="B391" s="143" t="s">
        <v>229</v>
      </c>
      <c r="C391" s="141" t="s">
        <v>68</v>
      </c>
      <c r="D391" s="143" t="s">
        <v>732</v>
      </c>
      <c r="E391" s="141" t="s">
        <v>1109</v>
      </c>
      <c r="F391" s="221" t="s">
        <v>577</v>
      </c>
      <c r="G391" s="144">
        <v>80</v>
      </c>
      <c r="H391" s="145">
        <v>240</v>
      </c>
      <c r="I391" s="146">
        <f t="shared" si="68"/>
        <v>6.893039839185381E-3</v>
      </c>
      <c r="J391" s="146">
        <f t="shared" ref="J391:J422" si="70">H391/$H$634</f>
        <v>7.2813921293612138E-3</v>
      </c>
      <c r="K391" s="146">
        <f t="shared" ref="K391:K422" si="71">H391/$H$510</f>
        <v>3.5445281346920689E-2</v>
      </c>
    </row>
    <row r="392" spans="1:11" ht="24" x14ac:dyDescent="0.2">
      <c r="A392" s="141" t="s">
        <v>1435</v>
      </c>
      <c r="B392" s="143" t="s">
        <v>229</v>
      </c>
      <c r="C392" s="141" t="s">
        <v>68</v>
      </c>
      <c r="D392" s="143" t="s">
        <v>732</v>
      </c>
      <c r="E392" s="141" t="s">
        <v>1110</v>
      </c>
      <c r="F392" s="221" t="s">
        <v>1111</v>
      </c>
      <c r="G392" s="144">
        <v>20</v>
      </c>
      <c r="H392" s="145">
        <v>60</v>
      </c>
      <c r="I392" s="146">
        <f t="shared" si="68"/>
        <v>1.7232599597963453E-3</v>
      </c>
      <c r="J392" s="146">
        <f t="shared" si="70"/>
        <v>1.8203480323403035E-3</v>
      </c>
      <c r="K392" s="146">
        <f t="shared" si="71"/>
        <v>8.8613203367301722E-3</v>
      </c>
    </row>
    <row r="393" spans="1:11" ht="24" x14ac:dyDescent="0.2">
      <c r="A393" s="141" t="s">
        <v>1435</v>
      </c>
      <c r="B393" s="143" t="s">
        <v>229</v>
      </c>
      <c r="C393" s="141" t="s">
        <v>68</v>
      </c>
      <c r="D393" s="143" t="s">
        <v>732</v>
      </c>
      <c r="E393" s="141" t="s">
        <v>1112</v>
      </c>
      <c r="F393" s="221" t="s">
        <v>1113</v>
      </c>
      <c r="G393" s="144">
        <v>40</v>
      </c>
      <c r="H393" s="145">
        <v>120</v>
      </c>
      <c r="I393" s="146">
        <f t="shared" si="68"/>
        <v>3.4465199195926905E-3</v>
      </c>
      <c r="J393" s="146">
        <f t="shared" si="70"/>
        <v>3.6406960646806069E-3</v>
      </c>
      <c r="K393" s="146">
        <f t="shared" si="71"/>
        <v>1.7722640673460344E-2</v>
      </c>
    </row>
    <row r="394" spans="1:11" x14ac:dyDescent="0.2">
      <c r="A394" s="141" t="s">
        <v>1435</v>
      </c>
      <c r="B394" s="143" t="s">
        <v>229</v>
      </c>
      <c r="C394" s="141" t="s">
        <v>68</v>
      </c>
      <c r="D394" s="143" t="s">
        <v>732</v>
      </c>
      <c r="E394" s="141" t="s">
        <v>1114</v>
      </c>
      <c r="F394" s="221" t="s">
        <v>578</v>
      </c>
      <c r="G394" s="144">
        <v>81</v>
      </c>
      <c r="H394" s="145">
        <v>243</v>
      </c>
      <c r="I394" s="146">
        <f t="shared" si="68"/>
        <v>6.9792028371751984E-3</v>
      </c>
      <c r="J394" s="146">
        <f t="shared" si="70"/>
        <v>7.3724095309782283E-3</v>
      </c>
      <c r="K394" s="146">
        <f t="shared" si="71"/>
        <v>3.5888347363757199E-2</v>
      </c>
    </row>
    <row r="395" spans="1:11" x14ac:dyDescent="0.2">
      <c r="A395" s="141" t="s">
        <v>1435</v>
      </c>
      <c r="B395" s="143" t="s">
        <v>229</v>
      </c>
      <c r="C395" s="141" t="s">
        <v>68</v>
      </c>
      <c r="D395" s="143" t="s">
        <v>732</v>
      </c>
      <c r="E395" s="141" t="s">
        <v>1115</v>
      </c>
      <c r="F395" s="221" t="s">
        <v>1116</v>
      </c>
      <c r="G395" s="144">
        <v>41</v>
      </c>
      <c r="H395" s="145">
        <v>123</v>
      </c>
      <c r="I395" s="146">
        <f t="shared" si="68"/>
        <v>3.5326829175825079E-3</v>
      </c>
      <c r="J395" s="146">
        <f t="shared" si="70"/>
        <v>3.7317134662976218E-3</v>
      </c>
      <c r="K395" s="146">
        <f t="shared" si="71"/>
        <v>1.8165706690296855E-2</v>
      </c>
    </row>
    <row r="396" spans="1:11" x14ac:dyDescent="0.2">
      <c r="A396" s="141" t="s">
        <v>1435</v>
      </c>
      <c r="B396" s="143" t="s">
        <v>229</v>
      </c>
      <c r="C396" s="141" t="s">
        <v>68</v>
      </c>
      <c r="D396" s="143" t="s">
        <v>732</v>
      </c>
      <c r="E396" s="141" t="s">
        <v>1117</v>
      </c>
      <c r="F396" s="221" t="s">
        <v>1118</v>
      </c>
      <c r="G396" s="144">
        <v>42</v>
      </c>
      <c r="H396" s="145">
        <v>126</v>
      </c>
      <c r="I396" s="146">
        <f t="shared" si="68"/>
        <v>3.6188459155723253E-3</v>
      </c>
      <c r="J396" s="146">
        <f t="shared" si="70"/>
        <v>3.8227308679146372E-3</v>
      </c>
      <c r="K396" s="146">
        <f t="shared" si="71"/>
        <v>1.8608772707133361E-2</v>
      </c>
    </row>
    <row r="397" spans="1:11" x14ac:dyDescent="0.2">
      <c r="A397" s="141" t="s">
        <v>1435</v>
      </c>
      <c r="B397" s="143" t="s">
        <v>229</v>
      </c>
      <c r="C397" s="141" t="s">
        <v>68</v>
      </c>
      <c r="D397" s="143" t="s">
        <v>732</v>
      </c>
      <c r="E397" s="141" t="s">
        <v>1119</v>
      </c>
      <c r="F397" s="221" t="s">
        <v>579</v>
      </c>
      <c r="G397" s="144">
        <v>58</v>
      </c>
      <c r="H397" s="145">
        <v>174</v>
      </c>
      <c r="I397" s="146">
        <f t="shared" si="68"/>
        <v>4.9974538834094018E-3</v>
      </c>
      <c r="J397" s="146">
        <f t="shared" si="70"/>
        <v>5.2790092937868797E-3</v>
      </c>
      <c r="K397" s="146">
        <f t="shared" si="71"/>
        <v>2.5697828976517501E-2</v>
      </c>
    </row>
    <row r="398" spans="1:11" ht="24" x14ac:dyDescent="0.2">
      <c r="A398" s="141" t="s">
        <v>1435</v>
      </c>
      <c r="B398" s="143" t="s">
        <v>229</v>
      </c>
      <c r="C398" s="141" t="s">
        <v>68</v>
      </c>
      <c r="D398" s="143" t="s">
        <v>732</v>
      </c>
      <c r="E398" s="141" t="s">
        <v>1120</v>
      </c>
      <c r="F398" s="221" t="s">
        <v>1121</v>
      </c>
      <c r="G398" s="144">
        <v>20</v>
      </c>
      <c r="H398" s="145">
        <v>60</v>
      </c>
      <c r="I398" s="146">
        <f t="shared" si="68"/>
        <v>1.7232599597963453E-3</v>
      </c>
      <c r="J398" s="146">
        <f t="shared" si="70"/>
        <v>1.8203480323403035E-3</v>
      </c>
      <c r="K398" s="146">
        <f t="shared" si="71"/>
        <v>8.8613203367301722E-3</v>
      </c>
    </row>
    <row r="399" spans="1:11" x14ac:dyDescent="0.2">
      <c r="A399" s="141" t="s">
        <v>1435</v>
      </c>
      <c r="B399" s="143" t="s">
        <v>229</v>
      </c>
      <c r="C399" s="141" t="s">
        <v>68</v>
      </c>
      <c r="D399" s="143" t="s">
        <v>732</v>
      </c>
      <c r="E399" s="141" t="s">
        <v>1122</v>
      </c>
      <c r="F399" s="221" t="s">
        <v>580</v>
      </c>
      <c r="G399" s="144">
        <v>68</v>
      </c>
      <c r="H399" s="145">
        <v>204</v>
      </c>
      <c r="I399" s="146">
        <f t="shared" si="68"/>
        <v>5.859083863307574E-3</v>
      </c>
      <c r="J399" s="146">
        <f t="shared" si="70"/>
        <v>6.1891833099570314E-3</v>
      </c>
      <c r="K399" s="146">
        <f t="shared" si="71"/>
        <v>3.0128489144882586E-2</v>
      </c>
    </row>
    <row r="400" spans="1:11" x14ac:dyDescent="0.2">
      <c r="A400" s="141" t="s">
        <v>1435</v>
      </c>
      <c r="B400" s="143" t="s">
        <v>229</v>
      </c>
      <c r="C400" s="141" t="s">
        <v>68</v>
      </c>
      <c r="D400" s="143" t="s">
        <v>732</v>
      </c>
      <c r="E400" s="141" t="s">
        <v>1123</v>
      </c>
      <c r="F400" s="221" t="s">
        <v>581</v>
      </c>
      <c r="G400" s="144">
        <v>60</v>
      </c>
      <c r="H400" s="145">
        <v>180</v>
      </c>
      <c r="I400" s="146">
        <f t="shared" si="68"/>
        <v>5.1697798793890358E-3</v>
      </c>
      <c r="J400" s="146">
        <f t="shared" si="70"/>
        <v>5.4610440970209104E-3</v>
      </c>
      <c r="K400" s="146">
        <f t="shared" si="71"/>
        <v>2.6583961010190518E-2</v>
      </c>
    </row>
    <row r="401" spans="1:11" x14ac:dyDescent="0.2">
      <c r="A401" s="141" t="s">
        <v>1435</v>
      </c>
      <c r="B401" s="143" t="s">
        <v>229</v>
      </c>
      <c r="C401" s="141" t="s">
        <v>68</v>
      </c>
      <c r="D401" s="143" t="s">
        <v>732</v>
      </c>
      <c r="E401" s="141" t="s">
        <v>1124</v>
      </c>
      <c r="F401" s="221" t="s">
        <v>582</v>
      </c>
      <c r="G401" s="144">
        <v>32</v>
      </c>
      <c r="H401" s="145">
        <v>96</v>
      </c>
      <c r="I401" s="146">
        <f t="shared" si="68"/>
        <v>2.7572159356741527E-3</v>
      </c>
      <c r="J401" s="146">
        <f t="shared" si="70"/>
        <v>2.9125568517444854E-3</v>
      </c>
      <c r="K401" s="146">
        <f t="shared" si="71"/>
        <v>1.4178112538768276E-2</v>
      </c>
    </row>
    <row r="402" spans="1:11" x14ac:dyDescent="0.2">
      <c r="A402" s="141" t="s">
        <v>1435</v>
      </c>
      <c r="B402" s="143" t="s">
        <v>229</v>
      </c>
      <c r="C402" s="141" t="s">
        <v>68</v>
      </c>
      <c r="D402" s="143" t="s">
        <v>732</v>
      </c>
      <c r="E402" s="141" t="s">
        <v>1125</v>
      </c>
      <c r="F402" s="221" t="s">
        <v>583</v>
      </c>
      <c r="G402" s="144">
        <v>64</v>
      </c>
      <c r="H402" s="145">
        <v>192</v>
      </c>
      <c r="I402" s="146">
        <f t="shared" si="68"/>
        <v>5.5144318713483053E-3</v>
      </c>
      <c r="J402" s="146">
        <f t="shared" si="70"/>
        <v>5.8251137034889709E-3</v>
      </c>
      <c r="K402" s="146">
        <f t="shared" si="71"/>
        <v>2.8356225077536552E-2</v>
      </c>
    </row>
    <row r="403" spans="1:11" x14ac:dyDescent="0.2">
      <c r="A403" s="141" t="s">
        <v>1435</v>
      </c>
      <c r="B403" s="143" t="s">
        <v>229</v>
      </c>
      <c r="C403" s="141" t="s">
        <v>68</v>
      </c>
      <c r="D403" s="143" t="s">
        <v>732</v>
      </c>
      <c r="E403" s="141" t="s">
        <v>1126</v>
      </c>
      <c r="F403" s="221" t="s">
        <v>584</v>
      </c>
      <c r="G403" s="144">
        <v>14</v>
      </c>
      <c r="H403" s="145">
        <v>42</v>
      </c>
      <c r="I403" s="146">
        <f t="shared" si="68"/>
        <v>1.2062819718574418E-3</v>
      </c>
      <c r="J403" s="146">
        <f t="shared" si="70"/>
        <v>1.2742436226382125E-3</v>
      </c>
      <c r="K403" s="146">
        <f t="shared" si="71"/>
        <v>6.202924235711121E-3</v>
      </c>
    </row>
    <row r="404" spans="1:11" x14ac:dyDescent="0.2">
      <c r="A404" s="141" t="s">
        <v>1435</v>
      </c>
      <c r="B404" s="143" t="s">
        <v>229</v>
      </c>
      <c r="C404" s="141" t="s">
        <v>68</v>
      </c>
      <c r="D404" s="143" t="s">
        <v>732</v>
      </c>
      <c r="E404" s="141" t="s">
        <v>1127</v>
      </c>
      <c r="F404" s="293" t="s">
        <v>585</v>
      </c>
      <c r="G404" s="144">
        <v>6</v>
      </c>
      <c r="H404" s="145">
        <v>18</v>
      </c>
      <c r="I404" s="146">
        <f t="shared" si="68"/>
        <v>5.169779879389036E-4</v>
      </c>
      <c r="J404" s="146">
        <f t="shared" si="70"/>
        <v>5.4610440970209099E-4</v>
      </c>
      <c r="K404" s="146">
        <f t="shared" si="71"/>
        <v>2.658396101019052E-3</v>
      </c>
    </row>
    <row r="405" spans="1:11" ht="24" x14ac:dyDescent="0.2">
      <c r="A405" s="141" t="s">
        <v>1435</v>
      </c>
      <c r="B405" s="143" t="s">
        <v>229</v>
      </c>
      <c r="C405" s="141" t="s">
        <v>68</v>
      </c>
      <c r="D405" s="143" t="s">
        <v>732</v>
      </c>
      <c r="E405" s="141" t="s">
        <v>1128</v>
      </c>
      <c r="F405" s="221" t="s">
        <v>1129</v>
      </c>
      <c r="G405" s="144">
        <v>9</v>
      </c>
      <c r="H405" s="145">
        <v>27</v>
      </c>
      <c r="I405" s="146">
        <f t="shared" si="68"/>
        <v>7.7546698190835545E-4</v>
      </c>
      <c r="J405" s="146">
        <f t="shared" si="70"/>
        <v>8.1915661455313649E-4</v>
      </c>
      <c r="K405" s="146">
        <f t="shared" si="71"/>
        <v>3.9875941515285776E-3</v>
      </c>
    </row>
    <row r="406" spans="1:11" x14ac:dyDescent="0.2">
      <c r="A406" s="141" t="s">
        <v>1435</v>
      </c>
      <c r="B406" s="143" t="s">
        <v>229</v>
      </c>
      <c r="C406" s="141" t="s">
        <v>68</v>
      </c>
      <c r="D406" s="143" t="s">
        <v>732</v>
      </c>
      <c r="E406" s="141" t="s">
        <v>1130</v>
      </c>
      <c r="F406" s="221" t="s">
        <v>586</v>
      </c>
      <c r="G406" s="144">
        <v>14</v>
      </c>
      <c r="H406" s="145">
        <v>42</v>
      </c>
      <c r="I406" s="146">
        <f t="shared" si="68"/>
        <v>1.2062819718574418E-3</v>
      </c>
      <c r="J406" s="146">
        <f t="shared" si="70"/>
        <v>1.2742436226382125E-3</v>
      </c>
      <c r="K406" s="146">
        <f t="shared" si="71"/>
        <v>6.202924235711121E-3</v>
      </c>
    </row>
    <row r="407" spans="1:11" x14ac:dyDescent="0.2">
      <c r="A407" s="141" t="s">
        <v>1435</v>
      </c>
      <c r="B407" s="143" t="s">
        <v>229</v>
      </c>
      <c r="C407" s="141" t="s">
        <v>68</v>
      </c>
      <c r="D407" s="143" t="s">
        <v>732</v>
      </c>
      <c r="E407" s="141" t="s">
        <v>1131</v>
      </c>
      <c r="F407" s="221" t="s">
        <v>1132</v>
      </c>
      <c r="G407" s="144">
        <v>14</v>
      </c>
      <c r="H407" s="145">
        <v>42</v>
      </c>
      <c r="I407" s="146">
        <f t="shared" si="68"/>
        <v>1.2062819718574418E-3</v>
      </c>
      <c r="J407" s="146">
        <f t="shared" si="70"/>
        <v>1.2742436226382125E-3</v>
      </c>
      <c r="K407" s="146">
        <f t="shared" si="71"/>
        <v>6.202924235711121E-3</v>
      </c>
    </row>
    <row r="408" spans="1:11" x14ac:dyDescent="0.2">
      <c r="A408" s="141" t="s">
        <v>1435</v>
      </c>
      <c r="B408" s="143" t="s">
        <v>229</v>
      </c>
      <c r="C408" s="141" t="s">
        <v>68</v>
      </c>
      <c r="D408" s="143" t="s">
        <v>732</v>
      </c>
      <c r="E408" s="141" t="s">
        <v>1133</v>
      </c>
      <c r="F408" s="221" t="s">
        <v>587</v>
      </c>
      <c r="G408" s="144">
        <v>15</v>
      </c>
      <c r="H408" s="145">
        <v>45</v>
      </c>
      <c r="I408" s="146">
        <f t="shared" si="68"/>
        <v>1.2924449698472589E-3</v>
      </c>
      <c r="J408" s="146">
        <f t="shared" si="70"/>
        <v>1.3652610242552276E-3</v>
      </c>
      <c r="K408" s="146">
        <f t="shared" si="71"/>
        <v>6.6459902525476296E-3</v>
      </c>
    </row>
    <row r="409" spans="1:11" x14ac:dyDescent="0.2">
      <c r="A409" s="141" t="s">
        <v>1435</v>
      </c>
      <c r="B409" s="143" t="s">
        <v>229</v>
      </c>
      <c r="C409" s="141" t="s">
        <v>68</v>
      </c>
      <c r="D409" s="143" t="s">
        <v>732</v>
      </c>
      <c r="E409" s="141" t="s">
        <v>1134</v>
      </c>
      <c r="F409" s="221" t="s">
        <v>1135</v>
      </c>
      <c r="G409" s="144">
        <v>60</v>
      </c>
      <c r="H409" s="145">
        <v>180</v>
      </c>
      <c r="I409" s="146">
        <f t="shared" si="68"/>
        <v>5.1697798793890358E-3</v>
      </c>
      <c r="J409" s="146">
        <f t="shared" si="70"/>
        <v>5.4610440970209104E-3</v>
      </c>
      <c r="K409" s="146">
        <f t="shared" si="71"/>
        <v>2.6583961010190518E-2</v>
      </c>
    </row>
    <row r="410" spans="1:11" x14ac:dyDescent="0.2">
      <c r="A410" s="141" t="s">
        <v>1435</v>
      </c>
      <c r="B410" s="143" t="s">
        <v>229</v>
      </c>
      <c r="C410" s="141" t="s">
        <v>68</v>
      </c>
      <c r="D410" s="143" t="s">
        <v>732</v>
      </c>
      <c r="E410" s="141" t="s">
        <v>1136</v>
      </c>
      <c r="F410" s="221" t="s">
        <v>1137</v>
      </c>
      <c r="G410" s="144">
        <v>5</v>
      </c>
      <c r="H410" s="145">
        <v>15</v>
      </c>
      <c r="I410" s="146">
        <f t="shared" si="68"/>
        <v>4.3081498994908631E-4</v>
      </c>
      <c r="J410" s="146">
        <f t="shared" si="70"/>
        <v>4.5508700808507586E-4</v>
      </c>
      <c r="K410" s="146">
        <f t="shared" si="71"/>
        <v>2.215330084182543E-3</v>
      </c>
    </row>
    <row r="411" spans="1:11" x14ac:dyDescent="0.2">
      <c r="A411" s="141" t="s">
        <v>1435</v>
      </c>
      <c r="B411" s="143" t="s">
        <v>229</v>
      </c>
      <c r="C411" s="141" t="s">
        <v>68</v>
      </c>
      <c r="D411" s="143" t="s">
        <v>732</v>
      </c>
      <c r="E411" s="141" t="s">
        <v>1138</v>
      </c>
      <c r="F411" s="221" t="s">
        <v>1139</v>
      </c>
      <c r="G411" s="144">
        <v>20</v>
      </c>
      <c r="H411" s="145">
        <v>60</v>
      </c>
      <c r="I411" s="146">
        <f t="shared" si="68"/>
        <v>1.7232599597963453E-3</v>
      </c>
      <c r="J411" s="146">
        <f t="shared" si="70"/>
        <v>1.8203480323403035E-3</v>
      </c>
      <c r="K411" s="146">
        <f t="shared" si="71"/>
        <v>8.8613203367301722E-3</v>
      </c>
    </row>
    <row r="412" spans="1:11" x14ac:dyDescent="0.2">
      <c r="A412" s="141" t="s">
        <v>1435</v>
      </c>
      <c r="B412" s="143" t="s">
        <v>229</v>
      </c>
      <c r="C412" s="141" t="s">
        <v>68</v>
      </c>
      <c r="D412" s="143" t="s">
        <v>732</v>
      </c>
      <c r="E412" s="141" t="s">
        <v>1140</v>
      </c>
      <c r="F412" s="221" t="s">
        <v>588</v>
      </c>
      <c r="G412" s="144">
        <v>16</v>
      </c>
      <c r="H412" s="145">
        <v>48</v>
      </c>
      <c r="I412" s="146">
        <f t="shared" si="68"/>
        <v>1.3786079678370763E-3</v>
      </c>
      <c r="J412" s="146">
        <f t="shared" si="70"/>
        <v>1.4562784258722427E-3</v>
      </c>
      <c r="K412" s="146">
        <f t="shared" si="71"/>
        <v>7.0890562693841381E-3</v>
      </c>
    </row>
    <row r="413" spans="1:11" x14ac:dyDescent="0.2">
      <c r="A413" s="141" t="s">
        <v>1435</v>
      </c>
      <c r="B413" s="143" t="s">
        <v>229</v>
      </c>
      <c r="C413" s="141" t="s">
        <v>68</v>
      </c>
      <c r="D413" s="143" t="s">
        <v>732</v>
      </c>
      <c r="E413" s="141" t="s">
        <v>1141</v>
      </c>
      <c r="F413" s="221" t="s">
        <v>1142</v>
      </c>
      <c r="G413" s="144">
        <v>19</v>
      </c>
      <c r="H413" s="145">
        <v>57</v>
      </c>
      <c r="I413" s="146">
        <f t="shared" si="68"/>
        <v>1.6370969618065281E-3</v>
      </c>
      <c r="J413" s="146">
        <f t="shared" si="70"/>
        <v>1.7293306307232881E-3</v>
      </c>
      <c r="K413" s="146">
        <f t="shared" si="71"/>
        <v>8.4182543198936637E-3</v>
      </c>
    </row>
    <row r="414" spans="1:11" ht="24" x14ac:dyDescent="0.2">
      <c r="A414" s="141" t="s">
        <v>1435</v>
      </c>
      <c r="B414" s="143" t="s">
        <v>229</v>
      </c>
      <c r="C414" s="141" t="s">
        <v>68</v>
      </c>
      <c r="D414" s="143" t="s">
        <v>732</v>
      </c>
      <c r="E414" s="141" t="s">
        <v>1143</v>
      </c>
      <c r="F414" s="221" t="s">
        <v>1144</v>
      </c>
      <c r="G414" s="144">
        <v>20</v>
      </c>
      <c r="H414" s="145">
        <v>60</v>
      </c>
      <c r="I414" s="146">
        <f t="shared" si="68"/>
        <v>1.7232599597963453E-3</v>
      </c>
      <c r="J414" s="146">
        <f t="shared" si="70"/>
        <v>1.8203480323403035E-3</v>
      </c>
      <c r="K414" s="146">
        <f t="shared" si="71"/>
        <v>8.8613203367301722E-3</v>
      </c>
    </row>
    <row r="415" spans="1:11" x14ac:dyDescent="0.2">
      <c r="A415" s="141" t="s">
        <v>1435</v>
      </c>
      <c r="B415" s="143" t="s">
        <v>229</v>
      </c>
      <c r="C415" s="141" t="s">
        <v>68</v>
      </c>
      <c r="D415" s="143" t="s">
        <v>732</v>
      </c>
      <c r="E415" s="141" t="s">
        <v>1145</v>
      </c>
      <c r="F415" s="221" t="s">
        <v>589</v>
      </c>
      <c r="G415" s="144">
        <v>16</v>
      </c>
      <c r="H415" s="145">
        <v>48</v>
      </c>
      <c r="I415" s="146">
        <f t="shared" si="68"/>
        <v>1.3786079678370763E-3</v>
      </c>
      <c r="J415" s="146">
        <f t="shared" si="70"/>
        <v>1.4562784258722427E-3</v>
      </c>
      <c r="K415" s="146">
        <f t="shared" si="71"/>
        <v>7.0890562693841381E-3</v>
      </c>
    </row>
    <row r="416" spans="1:11" x14ac:dyDescent="0.2">
      <c r="A416" s="141" t="s">
        <v>1435</v>
      </c>
      <c r="B416" s="143" t="s">
        <v>229</v>
      </c>
      <c r="C416" s="141" t="s">
        <v>68</v>
      </c>
      <c r="D416" s="143" t="s">
        <v>732</v>
      </c>
      <c r="E416" s="141" t="s">
        <v>1146</v>
      </c>
      <c r="F416" s="221" t="s">
        <v>1147</v>
      </c>
      <c r="G416" s="144">
        <v>40</v>
      </c>
      <c r="H416" s="145">
        <v>120</v>
      </c>
      <c r="I416" s="146">
        <f t="shared" si="68"/>
        <v>3.4465199195926905E-3</v>
      </c>
      <c r="J416" s="146">
        <f t="shared" si="70"/>
        <v>3.6406960646806069E-3</v>
      </c>
      <c r="K416" s="146">
        <f t="shared" si="71"/>
        <v>1.7722640673460344E-2</v>
      </c>
    </row>
    <row r="417" spans="1:11" ht="24" x14ac:dyDescent="0.2">
      <c r="A417" s="141" t="s">
        <v>1435</v>
      </c>
      <c r="B417" s="143" t="s">
        <v>229</v>
      </c>
      <c r="C417" s="141" t="s">
        <v>68</v>
      </c>
      <c r="D417" s="143" t="s">
        <v>732</v>
      </c>
      <c r="E417" s="141" t="s">
        <v>1614</v>
      </c>
      <c r="F417" s="221" t="s">
        <v>1615</v>
      </c>
      <c r="G417" s="144">
        <v>8</v>
      </c>
      <c r="H417" s="145">
        <v>24</v>
      </c>
      <c r="I417" s="146">
        <f t="shared" si="68"/>
        <v>6.8930398391853817E-4</v>
      </c>
      <c r="J417" s="146">
        <f t="shared" si="70"/>
        <v>7.2813921293612136E-4</v>
      </c>
      <c r="K417" s="146">
        <f t="shared" si="71"/>
        <v>3.544528134692069E-3</v>
      </c>
    </row>
    <row r="418" spans="1:11" ht="24" x14ac:dyDescent="0.2">
      <c r="A418" s="141" t="s">
        <v>1435</v>
      </c>
      <c r="B418" s="143" t="s">
        <v>229</v>
      </c>
      <c r="C418" s="141" t="s">
        <v>68</v>
      </c>
      <c r="D418" s="143" t="s">
        <v>732</v>
      </c>
      <c r="E418" s="141" t="s">
        <v>1148</v>
      </c>
      <c r="F418" s="221" t="s">
        <v>1149</v>
      </c>
      <c r="G418" s="144">
        <v>16</v>
      </c>
      <c r="H418" s="145">
        <v>48</v>
      </c>
      <c r="I418" s="146">
        <f t="shared" si="68"/>
        <v>1.3786079678370763E-3</v>
      </c>
      <c r="J418" s="146">
        <f t="shared" si="70"/>
        <v>1.4562784258722427E-3</v>
      </c>
      <c r="K418" s="146">
        <f t="shared" si="71"/>
        <v>7.0890562693841381E-3</v>
      </c>
    </row>
    <row r="419" spans="1:11" ht="24" x14ac:dyDescent="0.2">
      <c r="A419" s="141" t="s">
        <v>1435</v>
      </c>
      <c r="B419" s="143" t="s">
        <v>229</v>
      </c>
      <c r="C419" s="141" t="s">
        <v>68</v>
      </c>
      <c r="D419" s="143" t="s">
        <v>732</v>
      </c>
      <c r="E419" s="141" t="s">
        <v>1150</v>
      </c>
      <c r="F419" s="221" t="s">
        <v>1151</v>
      </c>
      <c r="G419" s="144">
        <v>20</v>
      </c>
      <c r="H419" s="145">
        <v>60</v>
      </c>
      <c r="I419" s="146">
        <f t="shared" si="68"/>
        <v>1.7232599597963453E-3</v>
      </c>
      <c r="J419" s="146">
        <f t="shared" si="70"/>
        <v>1.8203480323403035E-3</v>
      </c>
      <c r="K419" s="146">
        <f t="shared" si="71"/>
        <v>8.8613203367301722E-3</v>
      </c>
    </row>
    <row r="420" spans="1:11" x14ac:dyDescent="0.2">
      <c r="A420" s="141" t="s">
        <v>1435</v>
      </c>
      <c r="B420" s="143" t="s">
        <v>229</v>
      </c>
      <c r="C420" s="141" t="s">
        <v>68</v>
      </c>
      <c r="D420" s="143" t="s">
        <v>732</v>
      </c>
      <c r="E420" s="141" t="s">
        <v>1152</v>
      </c>
      <c r="F420" s="221" t="s">
        <v>1153</v>
      </c>
      <c r="G420" s="144">
        <v>28</v>
      </c>
      <c r="H420" s="145">
        <v>84</v>
      </c>
      <c r="I420" s="146">
        <f t="shared" ref="I420:I440" si="72">H420/$H$633</f>
        <v>2.4125639437148835E-3</v>
      </c>
      <c r="J420" s="146">
        <f t="shared" si="70"/>
        <v>2.5484872452764249E-3</v>
      </c>
      <c r="K420" s="146">
        <f t="shared" si="71"/>
        <v>1.2405848471422242E-2</v>
      </c>
    </row>
    <row r="421" spans="1:11" x14ac:dyDescent="0.2">
      <c r="A421" s="141" t="s">
        <v>1435</v>
      </c>
      <c r="B421" s="143" t="s">
        <v>229</v>
      </c>
      <c r="C421" s="141" t="s">
        <v>68</v>
      </c>
      <c r="D421" s="143" t="s">
        <v>732</v>
      </c>
      <c r="E421" s="141" t="s">
        <v>1154</v>
      </c>
      <c r="F421" s="221" t="s">
        <v>590</v>
      </c>
      <c r="G421" s="144">
        <v>18</v>
      </c>
      <c r="H421" s="145">
        <v>54</v>
      </c>
      <c r="I421" s="146">
        <f t="shared" si="72"/>
        <v>1.5509339638167109E-3</v>
      </c>
      <c r="J421" s="146">
        <f t="shared" si="70"/>
        <v>1.638313229106273E-3</v>
      </c>
      <c r="K421" s="146">
        <f t="shared" si="71"/>
        <v>7.9751883030571551E-3</v>
      </c>
    </row>
    <row r="422" spans="1:11" x14ac:dyDescent="0.2">
      <c r="A422" s="141" t="s">
        <v>1435</v>
      </c>
      <c r="B422" s="143" t="s">
        <v>229</v>
      </c>
      <c r="C422" s="141" t="s">
        <v>68</v>
      </c>
      <c r="D422" s="143" t="s">
        <v>732</v>
      </c>
      <c r="E422" s="141" t="s">
        <v>1155</v>
      </c>
      <c r="F422" s="221" t="s">
        <v>591</v>
      </c>
      <c r="G422" s="144">
        <v>12</v>
      </c>
      <c r="H422" s="145">
        <v>36</v>
      </c>
      <c r="I422" s="146">
        <f t="shared" si="72"/>
        <v>1.0339559758778072E-3</v>
      </c>
      <c r="J422" s="146">
        <f t="shared" si="70"/>
        <v>1.092208819404182E-3</v>
      </c>
      <c r="K422" s="146">
        <f t="shared" si="71"/>
        <v>5.316792202038104E-3</v>
      </c>
    </row>
    <row r="423" spans="1:11" x14ac:dyDescent="0.2">
      <c r="A423" s="141" t="s">
        <v>1435</v>
      </c>
      <c r="B423" s="143" t="s">
        <v>229</v>
      </c>
      <c r="C423" s="141" t="s">
        <v>68</v>
      </c>
      <c r="D423" s="143" t="s">
        <v>732</v>
      </c>
      <c r="E423" s="141" t="s">
        <v>1156</v>
      </c>
      <c r="F423" s="221" t="s">
        <v>592</v>
      </c>
      <c r="G423" s="144">
        <v>16</v>
      </c>
      <c r="H423" s="145">
        <v>48</v>
      </c>
      <c r="I423" s="146">
        <f t="shared" si="72"/>
        <v>1.3786079678370763E-3</v>
      </c>
      <c r="J423" s="146">
        <f t="shared" ref="J423:J440" si="73">H423/$H$634</f>
        <v>1.4562784258722427E-3</v>
      </c>
      <c r="K423" s="146">
        <f t="shared" ref="K423:K440" si="74">H423/$H$510</f>
        <v>7.0890562693841381E-3</v>
      </c>
    </row>
    <row r="424" spans="1:11" x14ac:dyDescent="0.2">
      <c r="A424" s="141" t="s">
        <v>1435</v>
      </c>
      <c r="B424" s="143" t="s">
        <v>229</v>
      </c>
      <c r="C424" s="141" t="s">
        <v>68</v>
      </c>
      <c r="D424" s="143" t="s">
        <v>732</v>
      </c>
      <c r="E424" s="141" t="s">
        <v>1157</v>
      </c>
      <c r="F424" s="221" t="s">
        <v>593</v>
      </c>
      <c r="G424" s="144">
        <v>12</v>
      </c>
      <c r="H424" s="145">
        <v>36</v>
      </c>
      <c r="I424" s="146">
        <f t="shared" si="72"/>
        <v>1.0339559758778072E-3</v>
      </c>
      <c r="J424" s="146">
        <f t="shared" si="73"/>
        <v>1.092208819404182E-3</v>
      </c>
      <c r="K424" s="146">
        <f t="shared" si="74"/>
        <v>5.316792202038104E-3</v>
      </c>
    </row>
    <row r="425" spans="1:11" x14ac:dyDescent="0.2">
      <c r="A425" s="141" t="s">
        <v>1435</v>
      </c>
      <c r="B425" s="143" t="s">
        <v>229</v>
      </c>
      <c r="C425" s="141" t="s">
        <v>68</v>
      </c>
      <c r="D425" s="143" t="s">
        <v>732</v>
      </c>
      <c r="E425" s="141" t="s">
        <v>1158</v>
      </c>
      <c r="F425" s="221" t="s">
        <v>594</v>
      </c>
      <c r="G425" s="144">
        <v>11</v>
      </c>
      <c r="H425" s="145">
        <v>33</v>
      </c>
      <c r="I425" s="146">
        <f t="shared" si="72"/>
        <v>9.4779297788798991E-4</v>
      </c>
      <c r="J425" s="146">
        <f t="shared" si="73"/>
        <v>1.0011914177871669E-3</v>
      </c>
      <c r="K425" s="146">
        <f t="shared" si="74"/>
        <v>4.8737261852015946E-3</v>
      </c>
    </row>
    <row r="426" spans="1:11" x14ac:dyDescent="0.2">
      <c r="A426" s="141" t="s">
        <v>1435</v>
      </c>
      <c r="B426" s="143" t="s">
        <v>229</v>
      </c>
      <c r="C426" s="141" t="s">
        <v>68</v>
      </c>
      <c r="D426" s="143" t="s">
        <v>732</v>
      </c>
      <c r="E426" s="141" t="s">
        <v>1159</v>
      </c>
      <c r="F426" s="221" t="s">
        <v>595</v>
      </c>
      <c r="G426" s="144">
        <v>8</v>
      </c>
      <c r="H426" s="145">
        <v>24</v>
      </c>
      <c r="I426" s="146">
        <f t="shared" si="72"/>
        <v>6.8930398391853817E-4</v>
      </c>
      <c r="J426" s="146">
        <f t="shared" si="73"/>
        <v>7.2813921293612136E-4</v>
      </c>
      <c r="K426" s="146">
        <f t="shared" si="74"/>
        <v>3.544528134692069E-3</v>
      </c>
    </row>
    <row r="427" spans="1:11" x14ac:dyDescent="0.2">
      <c r="A427" s="141" t="s">
        <v>1435</v>
      </c>
      <c r="B427" s="143" t="s">
        <v>229</v>
      </c>
      <c r="C427" s="141" t="s">
        <v>68</v>
      </c>
      <c r="D427" s="143" t="s">
        <v>732</v>
      </c>
      <c r="E427" s="141" t="s">
        <v>1160</v>
      </c>
      <c r="F427" s="221" t="s">
        <v>596</v>
      </c>
      <c r="G427" s="144">
        <v>43</v>
      </c>
      <c r="H427" s="145">
        <v>129</v>
      </c>
      <c r="I427" s="146">
        <f t="shared" si="72"/>
        <v>3.7050089135621427E-3</v>
      </c>
      <c r="J427" s="146">
        <f t="shared" si="73"/>
        <v>3.9137482695316521E-3</v>
      </c>
      <c r="K427" s="146">
        <f t="shared" si="74"/>
        <v>1.9051838723969872E-2</v>
      </c>
    </row>
    <row r="428" spans="1:11" x14ac:dyDescent="0.2">
      <c r="A428" s="141" t="s">
        <v>1435</v>
      </c>
      <c r="B428" s="143" t="s">
        <v>229</v>
      </c>
      <c r="C428" s="141" t="s">
        <v>68</v>
      </c>
      <c r="D428" s="143" t="s">
        <v>732</v>
      </c>
      <c r="E428" s="141" t="s">
        <v>1161</v>
      </c>
      <c r="F428" s="221" t="s">
        <v>597</v>
      </c>
      <c r="G428" s="144">
        <v>62</v>
      </c>
      <c r="H428" s="145">
        <v>186</v>
      </c>
      <c r="I428" s="146">
        <f t="shared" si="72"/>
        <v>5.3421058753686705E-3</v>
      </c>
      <c r="J428" s="146">
        <f t="shared" si="73"/>
        <v>5.6430789002549402E-3</v>
      </c>
      <c r="K428" s="146">
        <f t="shared" si="74"/>
        <v>2.7470093043863535E-2</v>
      </c>
    </row>
    <row r="429" spans="1:11" x14ac:dyDescent="0.2">
      <c r="A429" s="141" t="s">
        <v>1435</v>
      </c>
      <c r="B429" s="143" t="s">
        <v>229</v>
      </c>
      <c r="C429" s="141" t="s">
        <v>68</v>
      </c>
      <c r="D429" s="143" t="s">
        <v>732</v>
      </c>
      <c r="E429" s="141" t="s">
        <v>1162</v>
      </c>
      <c r="F429" s="221" t="s">
        <v>1163</v>
      </c>
      <c r="G429" s="144">
        <v>28</v>
      </c>
      <c r="H429" s="145">
        <v>84</v>
      </c>
      <c r="I429" s="146">
        <f t="shared" si="72"/>
        <v>2.4125639437148835E-3</v>
      </c>
      <c r="J429" s="146">
        <f t="shared" si="73"/>
        <v>2.5484872452764249E-3</v>
      </c>
      <c r="K429" s="146">
        <f t="shared" si="74"/>
        <v>1.2405848471422242E-2</v>
      </c>
    </row>
    <row r="430" spans="1:11" ht="24" x14ac:dyDescent="0.2">
      <c r="A430" s="141" t="s">
        <v>1435</v>
      </c>
      <c r="B430" s="143" t="s">
        <v>229</v>
      </c>
      <c r="C430" s="141" t="s">
        <v>68</v>
      </c>
      <c r="D430" s="143" t="s">
        <v>732</v>
      </c>
      <c r="E430" s="141" t="s">
        <v>1164</v>
      </c>
      <c r="F430" s="221" t="s">
        <v>1165</v>
      </c>
      <c r="G430" s="144">
        <v>11</v>
      </c>
      <c r="H430" s="145">
        <v>33</v>
      </c>
      <c r="I430" s="146">
        <f t="shared" si="72"/>
        <v>9.4779297788798991E-4</v>
      </c>
      <c r="J430" s="146">
        <f t="shared" si="73"/>
        <v>1.0011914177871669E-3</v>
      </c>
      <c r="K430" s="146">
        <f t="shared" si="74"/>
        <v>4.8737261852015946E-3</v>
      </c>
    </row>
    <row r="431" spans="1:11" x14ac:dyDescent="0.2">
      <c r="A431" s="141" t="s">
        <v>1435</v>
      </c>
      <c r="B431" s="143" t="s">
        <v>229</v>
      </c>
      <c r="C431" s="141" t="s">
        <v>68</v>
      </c>
      <c r="D431" s="143" t="s">
        <v>732</v>
      </c>
      <c r="E431" s="141" t="s">
        <v>1166</v>
      </c>
      <c r="F431" s="221" t="s">
        <v>1167</v>
      </c>
      <c r="G431" s="144">
        <v>13</v>
      </c>
      <c r="H431" s="145">
        <v>39</v>
      </c>
      <c r="I431" s="146">
        <f t="shared" si="72"/>
        <v>1.1201189738676244E-3</v>
      </c>
      <c r="J431" s="146">
        <f t="shared" si="73"/>
        <v>1.1832262210211971E-3</v>
      </c>
      <c r="K431" s="146">
        <f t="shared" si="74"/>
        <v>5.7598582188746125E-3</v>
      </c>
    </row>
    <row r="432" spans="1:11" ht="24" x14ac:dyDescent="0.2">
      <c r="A432" s="141" t="s">
        <v>1435</v>
      </c>
      <c r="B432" s="143" t="s">
        <v>229</v>
      </c>
      <c r="C432" s="141" t="s">
        <v>68</v>
      </c>
      <c r="D432" s="143" t="s">
        <v>732</v>
      </c>
      <c r="E432" s="141" t="s">
        <v>1168</v>
      </c>
      <c r="F432" s="221" t="s">
        <v>1169</v>
      </c>
      <c r="G432" s="144">
        <v>20</v>
      </c>
      <c r="H432" s="145">
        <v>60</v>
      </c>
      <c r="I432" s="146">
        <f t="shared" si="72"/>
        <v>1.7232599597963453E-3</v>
      </c>
      <c r="J432" s="146">
        <f t="shared" si="73"/>
        <v>1.8203480323403035E-3</v>
      </c>
      <c r="K432" s="146">
        <f t="shared" si="74"/>
        <v>8.8613203367301722E-3</v>
      </c>
    </row>
    <row r="433" spans="1:11" x14ac:dyDescent="0.2">
      <c r="A433" s="141" t="s">
        <v>1435</v>
      </c>
      <c r="B433" s="143" t="s">
        <v>229</v>
      </c>
      <c r="C433" s="141" t="s">
        <v>68</v>
      </c>
      <c r="D433" s="143" t="s">
        <v>732</v>
      </c>
      <c r="E433" s="141" t="s">
        <v>1170</v>
      </c>
      <c r="F433" s="221" t="s">
        <v>1171</v>
      </c>
      <c r="G433" s="144">
        <v>18</v>
      </c>
      <c r="H433" s="145">
        <v>54</v>
      </c>
      <c r="I433" s="146">
        <f t="shared" si="72"/>
        <v>1.5509339638167109E-3</v>
      </c>
      <c r="J433" s="146">
        <f t="shared" si="73"/>
        <v>1.638313229106273E-3</v>
      </c>
      <c r="K433" s="146">
        <f t="shared" si="74"/>
        <v>7.9751883030571551E-3</v>
      </c>
    </row>
    <row r="434" spans="1:11" x14ac:dyDescent="0.2">
      <c r="A434" s="141" t="s">
        <v>1435</v>
      </c>
      <c r="B434" s="143" t="s">
        <v>229</v>
      </c>
      <c r="C434" s="141" t="s">
        <v>68</v>
      </c>
      <c r="D434" s="143" t="s">
        <v>732</v>
      </c>
      <c r="E434" s="141" t="s">
        <v>1616</v>
      </c>
      <c r="F434" s="221" t="s">
        <v>1617</v>
      </c>
      <c r="G434" s="144">
        <v>21</v>
      </c>
      <c r="H434" s="145">
        <v>63</v>
      </c>
      <c r="I434" s="146">
        <f t="shared" si="72"/>
        <v>1.8094229577861626E-3</v>
      </c>
      <c r="J434" s="146">
        <f t="shared" si="73"/>
        <v>1.9113654339573186E-3</v>
      </c>
      <c r="K434" s="146">
        <f t="shared" si="74"/>
        <v>9.3043863535666807E-3</v>
      </c>
    </row>
    <row r="435" spans="1:11" x14ac:dyDescent="0.2">
      <c r="A435" s="141" t="s">
        <v>1435</v>
      </c>
      <c r="B435" s="143" t="s">
        <v>229</v>
      </c>
      <c r="C435" s="141" t="s">
        <v>68</v>
      </c>
      <c r="D435" s="143" t="s">
        <v>732</v>
      </c>
      <c r="E435" s="141" t="s">
        <v>1172</v>
      </c>
      <c r="F435" s="221" t="s">
        <v>1173</v>
      </c>
      <c r="G435" s="144">
        <v>5</v>
      </c>
      <c r="H435" s="145">
        <v>15</v>
      </c>
      <c r="I435" s="146">
        <f t="shared" si="72"/>
        <v>4.3081498994908631E-4</v>
      </c>
      <c r="J435" s="146">
        <f t="shared" si="73"/>
        <v>4.5508700808507586E-4</v>
      </c>
      <c r="K435" s="146">
        <f t="shared" si="74"/>
        <v>2.215330084182543E-3</v>
      </c>
    </row>
    <row r="436" spans="1:11" x14ac:dyDescent="0.2">
      <c r="A436" s="141" t="s">
        <v>1435</v>
      </c>
      <c r="B436" s="143" t="s">
        <v>229</v>
      </c>
      <c r="C436" s="141" t="s">
        <v>68</v>
      </c>
      <c r="D436" s="143" t="s">
        <v>732</v>
      </c>
      <c r="E436" s="141" t="s">
        <v>1174</v>
      </c>
      <c r="F436" s="221" t="s">
        <v>598</v>
      </c>
      <c r="G436" s="144">
        <v>51</v>
      </c>
      <c r="H436" s="145">
        <v>153</v>
      </c>
      <c r="I436" s="146">
        <f t="shared" si="72"/>
        <v>4.394312897480681E-3</v>
      </c>
      <c r="J436" s="146">
        <f t="shared" si="73"/>
        <v>4.641887482467774E-3</v>
      </c>
      <c r="K436" s="146">
        <f t="shared" si="74"/>
        <v>2.259636685866194E-2</v>
      </c>
    </row>
    <row r="437" spans="1:11" ht="24" x14ac:dyDescent="0.2">
      <c r="A437" s="141" t="s">
        <v>1435</v>
      </c>
      <c r="B437" s="143" t="s">
        <v>229</v>
      </c>
      <c r="C437" s="141" t="s">
        <v>68</v>
      </c>
      <c r="D437" s="143" t="s">
        <v>732</v>
      </c>
      <c r="E437" s="141" t="s">
        <v>1175</v>
      </c>
      <c r="F437" s="221" t="s">
        <v>1176</v>
      </c>
      <c r="G437" s="144">
        <v>3</v>
      </c>
      <c r="H437" s="145">
        <v>9</v>
      </c>
      <c r="I437" s="146">
        <f t="shared" si="72"/>
        <v>2.584889939694518E-4</v>
      </c>
      <c r="J437" s="146">
        <f t="shared" si="73"/>
        <v>2.730522048510455E-4</v>
      </c>
      <c r="K437" s="146">
        <f t="shared" si="74"/>
        <v>1.329198050509526E-3</v>
      </c>
    </row>
    <row r="438" spans="1:11" ht="24" x14ac:dyDescent="0.2">
      <c r="A438" s="141" t="s">
        <v>1435</v>
      </c>
      <c r="B438" s="143" t="s">
        <v>229</v>
      </c>
      <c r="C438" s="141" t="s">
        <v>68</v>
      </c>
      <c r="D438" s="143" t="s">
        <v>732</v>
      </c>
      <c r="E438" s="141" t="s">
        <v>1177</v>
      </c>
      <c r="F438" s="221" t="s">
        <v>1178</v>
      </c>
      <c r="G438" s="144">
        <v>21</v>
      </c>
      <c r="H438" s="145">
        <v>63</v>
      </c>
      <c r="I438" s="146">
        <f t="shared" si="72"/>
        <v>1.8094229577861626E-3</v>
      </c>
      <c r="J438" s="146">
        <f t="shared" si="73"/>
        <v>1.9113654339573186E-3</v>
      </c>
      <c r="K438" s="146">
        <f t="shared" si="74"/>
        <v>9.3043863535666807E-3</v>
      </c>
    </row>
    <row r="439" spans="1:11" ht="24" x14ac:dyDescent="0.2">
      <c r="A439" s="141" t="s">
        <v>1435</v>
      </c>
      <c r="B439" s="143" t="s">
        <v>229</v>
      </c>
      <c r="C439" s="141" t="s">
        <v>68</v>
      </c>
      <c r="D439" s="143" t="s">
        <v>732</v>
      </c>
      <c r="E439" s="141" t="s">
        <v>1179</v>
      </c>
      <c r="F439" s="221" t="s">
        <v>1180</v>
      </c>
      <c r="G439" s="144">
        <v>10</v>
      </c>
      <c r="H439" s="145">
        <v>30</v>
      </c>
      <c r="I439" s="146">
        <f t="shared" si="72"/>
        <v>8.6162997989817263E-4</v>
      </c>
      <c r="J439" s="146">
        <f t="shared" si="73"/>
        <v>9.1017401617015173E-4</v>
      </c>
      <c r="K439" s="146">
        <f t="shared" si="74"/>
        <v>4.4306601683650861E-3</v>
      </c>
    </row>
    <row r="440" spans="1:11" ht="24" x14ac:dyDescent="0.2">
      <c r="A440" s="141" t="s">
        <v>1435</v>
      </c>
      <c r="B440" s="143" t="s">
        <v>229</v>
      </c>
      <c r="C440" s="141" t="s">
        <v>68</v>
      </c>
      <c r="D440" s="143" t="s">
        <v>732</v>
      </c>
      <c r="E440" s="141" t="s">
        <v>1181</v>
      </c>
      <c r="F440" s="221" t="s">
        <v>1182</v>
      </c>
      <c r="G440" s="144">
        <v>41</v>
      </c>
      <c r="H440" s="145">
        <v>82</v>
      </c>
      <c r="I440" s="146">
        <f t="shared" si="72"/>
        <v>2.3551219450550051E-3</v>
      </c>
      <c r="J440" s="146">
        <f t="shared" si="73"/>
        <v>2.487808977531748E-3</v>
      </c>
      <c r="K440" s="146">
        <f t="shared" si="74"/>
        <v>1.211047112686457E-2</v>
      </c>
    </row>
    <row r="441" spans="1:11" x14ac:dyDescent="0.2">
      <c r="A441" s="141" t="s">
        <v>1435</v>
      </c>
      <c r="B441" s="143" t="s">
        <v>229</v>
      </c>
      <c r="C441" s="141" t="s">
        <v>68</v>
      </c>
      <c r="D441" s="143" t="s">
        <v>732</v>
      </c>
      <c r="E441" s="141" t="s">
        <v>1643</v>
      </c>
      <c r="F441" s="221" t="s">
        <v>1644</v>
      </c>
      <c r="G441" s="144">
        <v>1</v>
      </c>
      <c r="H441" s="145">
        <v>3</v>
      </c>
      <c r="I441" s="146">
        <f t="shared" ref="I441:I446" si="75">H441/$H$633</f>
        <v>8.6162997989817271E-5</v>
      </c>
      <c r="J441" s="146">
        <f t="shared" ref="J441:J446" si="76">H441/$H$634</f>
        <v>9.101740161701517E-5</v>
      </c>
      <c r="K441" s="146">
        <f t="shared" ref="K441:K446" si="77">H441/$H$510</f>
        <v>4.4306601683650863E-4</v>
      </c>
    </row>
    <row r="442" spans="1:11" x14ac:dyDescent="0.2">
      <c r="A442" s="141" t="s">
        <v>1435</v>
      </c>
      <c r="B442" s="143" t="s">
        <v>229</v>
      </c>
      <c r="C442" s="141" t="s">
        <v>68</v>
      </c>
      <c r="D442" s="143" t="s">
        <v>732</v>
      </c>
      <c r="E442" s="141" t="s">
        <v>1645</v>
      </c>
      <c r="F442" s="221" t="s">
        <v>1646</v>
      </c>
      <c r="G442" s="144">
        <v>3</v>
      </c>
      <c r="H442" s="145">
        <v>9</v>
      </c>
      <c r="I442" s="146">
        <f t="shared" si="75"/>
        <v>2.584889939694518E-4</v>
      </c>
      <c r="J442" s="146">
        <f t="shared" si="76"/>
        <v>2.730522048510455E-4</v>
      </c>
      <c r="K442" s="146">
        <f t="shared" si="77"/>
        <v>1.329198050509526E-3</v>
      </c>
    </row>
    <row r="443" spans="1:11" x14ac:dyDescent="0.2">
      <c r="A443" s="141" t="s">
        <v>1435</v>
      </c>
      <c r="B443" s="143" t="s">
        <v>229</v>
      </c>
      <c r="C443" s="141" t="s">
        <v>68</v>
      </c>
      <c r="D443" s="143" t="s">
        <v>732</v>
      </c>
      <c r="E443" s="141" t="s">
        <v>1647</v>
      </c>
      <c r="F443" s="221" t="s">
        <v>1648</v>
      </c>
      <c r="G443" s="144">
        <v>2</v>
      </c>
      <c r="H443" s="145">
        <v>6</v>
      </c>
      <c r="I443" s="146">
        <f t="shared" si="75"/>
        <v>1.7232599597963454E-4</v>
      </c>
      <c r="J443" s="146">
        <f t="shared" si="76"/>
        <v>1.8203480323403034E-4</v>
      </c>
      <c r="K443" s="146">
        <f t="shared" si="77"/>
        <v>8.8613203367301726E-4</v>
      </c>
    </row>
    <row r="444" spans="1:11" x14ac:dyDescent="0.2">
      <c r="A444" s="141" t="s">
        <v>1435</v>
      </c>
      <c r="B444" s="143" t="s">
        <v>229</v>
      </c>
      <c r="C444" s="141" t="s">
        <v>68</v>
      </c>
      <c r="D444" s="143" t="s">
        <v>732</v>
      </c>
      <c r="E444" s="141" t="s">
        <v>1649</v>
      </c>
      <c r="F444" s="221" t="s">
        <v>1650</v>
      </c>
      <c r="G444" s="144">
        <v>6</v>
      </c>
      <c r="H444" s="145">
        <v>18</v>
      </c>
      <c r="I444" s="146">
        <f t="shared" si="75"/>
        <v>5.169779879389036E-4</v>
      </c>
      <c r="J444" s="146">
        <f t="shared" si="76"/>
        <v>5.4610440970209099E-4</v>
      </c>
      <c r="K444" s="146">
        <f t="shared" si="77"/>
        <v>2.658396101019052E-3</v>
      </c>
    </row>
    <row r="445" spans="1:11" x14ac:dyDescent="0.2">
      <c r="A445" s="141" t="s">
        <v>1435</v>
      </c>
      <c r="B445" s="143" t="s">
        <v>229</v>
      </c>
      <c r="C445" s="141" t="s">
        <v>68</v>
      </c>
      <c r="D445" s="143" t="s">
        <v>732</v>
      </c>
      <c r="E445" s="141" t="s">
        <v>1651</v>
      </c>
      <c r="F445" s="221" t="s">
        <v>1652</v>
      </c>
      <c r="G445" s="144">
        <v>1</v>
      </c>
      <c r="H445" s="145">
        <v>3</v>
      </c>
      <c r="I445" s="146">
        <f t="shared" si="75"/>
        <v>8.6162997989817271E-5</v>
      </c>
      <c r="J445" s="146">
        <f t="shared" si="76"/>
        <v>9.101740161701517E-5</v>
      </c>
      <c r="K445" s="146">
        <f t="shared" si="77"/>
        <v>4.4306601683650863E-4</v>
      </c>
    </row>
    <row r="446" spans="1:11" x14ac:dyDescent="0.2">
      <c r="A446" s="141" t="s">
        <v>1435</v>
      </c>
      <c r="B446" s="143" t="s">
        <v>229</v>
      </c>
      <c r="C446" s="141" t="s">
        <v>68</v>
      </c>
      <c r="D446" s="143" t="s">
        <v>732</v>
      </c>
      <c r="E446" s="141" t="s">
        <v>1653</v>
      </c>
      <c r="F446" s="221" t="s">
        <v>1654</v>
      </c>
      <c r="G446" s="144">
        <v>1</v>
      </c>
      <c r="H446" s="145">
        <v>3</v>
      </c>
      <c r="I446" s="146">
        <f t="shared" si="75"/>
        <v>8.6162997989817271E-5</v>
      </c>
      <c r="J446" s="146">
        <f t="shared" si="76"/>
        <v>9.101740161701517E-5</v>
      </c>
      <c r="K446" s="146">
        <f t="shared" si="77"/>
        <v>4.4306601683650863E-4</v>
      </c>
    </row>
    <row r="447" spans="1:11" x14ac:dyDescent="0.2">
      <c r="A447" s="157"/>
      <c r="B447" s="275"/>
      <c r="C447" s="157"/>
      <c r="D447" s="713" t="s">
        <v>639</v>
      </c>
      <c r="E447" s="713"/>
      <c r="F447" s="713"/>
      <c r="G447" s="163">
        <f>SUM(G391:G446)</f>
        <v>1384</v>
      </c>
      <c r="H447" s="163">
        <f>SUM(H391:H446)</f>
        <v>4111</v>
      </c>
      <c r="I447" s="158">
        <f t="shared" ref="I447:I463" si="78">H447/$H$633</f>
        <v>0.1180720282453796</v>
      </c>
      <c r="J447" s="158">
        <f t="shared" ref="J447:J463" si="79">H447/$H$634</f>
        <v>0.12472417934918312</v>
      </c>
      <c r="K447" s="158">
        <f t="shared" ref="K447:K463" si="80">H447/$H$510</f>
        <v>0.60714813173829563</v>
      </c>
    </row>
    <row r="448" spans="1:11" ht="24" x14ac:dyDescent="0.2">
      <c r="A448" s="141" t="s">
        <v>1435</v>
      </c>
      <c r="B448" s="143" t="s">
        <v>229</v>
      </c>
      <c r="C448" s="141" t="s">
        <v>68</v>
      </c>
      <c r="D448" s="141" t="s">
        <v>733</v>
      </c>
      <c r="E448" s="141" t="s">
        <v>1183</v>
      </c>
      <c r="F448" s="221" t="s">
        <v>1184</v>
      </c>
      <c r="G448" s="144">
        <v>4</v>
      </c>
      <c r="H448" s="145">
        <v>12</v>
      </c>
      <c r="I448" s="146">
        <f t="shared" si="78"/>
        <v>3.4465199195926908E-4</v>
      </c>
      <c r="J448" s="146">
        <f t="shared" si="79"/>
        <v>3.6406960646806068E-4</v>
      </c>
      <c r="K448" s="146">
        <f t="shared" si="80"/>
        <v>1.7722640673460345E-3</v>
      </c>
    </row>
    <row r="449" spans="1:11" ht="24" x14ac:dyDescent="0.2">
      <c r="A449" s="141" t="s">
        <v>1435</v>
      </c>
      <c r="B449" s="143" t="s">
        <v>229</v>
      </c>
      <c r="C449" s="141" t="s">
        <v>68</v>
      </c>
      <c r="D449" s="141" t="s">
        <v>733</v>
      </c>
      <c r="E449" s="141" t="s">
        <v>1618</v>
      </c>
      <c r="F449" s="221" t="s">
        <v>1619</v>
      </c>
      <c r="G449" s="144">
        <v>4</v>
      </c>
      <c r="H449" s="145">
        <v>12</v>
      </c>
      <c r="I449" s="146">
        <f t="shared" si="78"/>
        <v>3.4465199195926908E-4</v>
      </c>
      <c r="J449" s="146">
        <f t="shared" si="79"/>
        <v>3.6406960646806068E-4</v>
      </c>
      <c r="K449" s="146">
        <f t="shared" si="80"/>
        <v>1.7722640673460345E-3</v>
      </c>
    </row>
    <row r="450" spans="1:11" x14ac:dyDescent="0.2">
      <c r="A450" s="157"/>
      <c r="B450" s="275"/>
      <c r="C450" s="157"/>
      <c r="D450" s="713" t="s">
        <v>599</v>
      </c>
      <c r="E450" s="713"/>
      <c r="F450" s="713"/>
      <c r="G450" s="163">
        <f>SUM(G448:G449)</f>
        <v>8</v>
      </c>
      <c r="H450" s="163">
        <f>SUM(H448:H449)</f>
        <v>24</v>
      </c>
      <c r="I450" s="158">
        <f t="shared" si="78"/>
        <v>6.8930398391853817E-4</v>
      </c>
      <c r="J450" s="158">
        <f t="shared" si="79"/>
        <v>7.2813921293612136E-4</v>
      </c>
      <c r="K450" s="158">
        <f t="shared" si="80"/>
        <v>3.544528134692069E-3</v>
      </c>
    </row>
    <row r="451" spans="1:11" x14ac:dyDescent="0.2">
      <c r="A451" s="141" t="s">
        <v>1435</v>
      </c>
      <c r="B451" s="143" t="s">
        <v>229</v>
      </c>
      <c r="C451" s="141" t="s">
        <v>68</v>
      </c>
      <c r="D451" s="143" t="s">
        <v>734</v>
      </c>
      <c r="E451" s="141" t="s">
        <v>1185</v>
      </c>
      <c r="F451" s="221" t="s">
        <v>1186</v>
      </c>
      <c r="G451" s="144">
        <v>25</v>
      </c>
      <c r="H451" s="145">
        <v>75</v>
      </c>
      <c r="I451" s="146">
        <f t="shared" si="78"/>
        <v>2.1540749497454318E-3</v>
      </c>
      <c r="J451" s="146">
        <f t="shared" si="79"/>
        <v>2.2754350404253793E-3</v>
      </c>
      <c r="K451" s="146">
        <f t="shared" si="80"/>
        <v>1.1076650420912717E-2</v>
      </c>
    </row>
    <row r="452" spans="1:11" x14ac:dyDescent="0.2">
      <c r="A452" s="141" t="s">
        <v>1435</v>
      </c>
      <c r="B452" s="143" t="s">
        <v>229</v>
      </c>
      <c r="C452" s="141" t="s">
        <v>68</v>
      </c>
      <c r="D452" s="143" t="s">
        <v>734</v>
      </c>
      <c r="E452" s="141" t="s">
        <v>1187</v>
      </c>
      <c r="F452" s="221" t="s">
        <v>600</v>
      </c>
      <c r="G452" s="144">
        <v>25</v>
      </c>
      <c r="H452" s="145">
        <v>75</v>
      </c>
      <c r="I452" s="146">
        <f t="shared" si="78"/>
        <v>2.1540749497454318E-3</v>
      </c>
      <c r="J452" s="146">
        <f t="shared" si="79"/>
        <v>2.2754350404253793E-3</v>
      </c>
      <c r="K452" s="146">
        <f t="shared" si="80"/>
        <v>1.1076650420912717E-2</v>
      </c>
    </row>
    <row r="453" spans="1:11" x14ac:dyDescent="0.2">
      <c r="A453" s="141" t="s">
        <v>1435</v>
      </c>
      <c r="B453" s="143" t="s">
        <v>229</v>
      </c>
      <c r="C453" s="141" t="s">
        <v>68</v>
      </c>
      <c r="D453" s="143" t="s">
        <v>734</v>
      </c>
      <c r="E453" s="141" t="s">
        <v>1188</v>
      </c>
      <c r="F453" s="221" t="s">
        <v>601</v>
      </c>
      <c r="G453" s="144">
        <v>12</v>
      </c>
      <c r="H453" s="145">
        <v>36</v>
      </c>
      <c r="I453" s="146">
        <f t="shared" si="78"/>
        <v>1.0339559758778072E-3</v>
      </c>
      <c r="J453" s="146">
        <f t="shared" si="79"/>
        <v>1.092208819404182E-3</v>
      </c>
      <c r="K453" s="146">
        <f t="shared" si="80"/>
        <v>5.316792202038104E-3</v>
      </c>
    </row>
    <row r="454" spans="1:11" x14ac:dyDescent="0.2">
      <c r="A454" s="141" t="s">
        <v>1435</v>
      </c>
      <c r="B454" s="143" t="s">
        <v>229</v>
      </c>
      <c r="C454" s="141" t="s">
        <v>68</v>
      </c>
      <c r="D454" s="143" t="s">
        <v>734</v>
      </c>
      <c r="E454" s="141" t="s">
        <v>1189</v>
      </c>
      <c r="F454" s="221" t="s">
        <v>602</v>
      </c>
      <c r="G454" s="144">
        <v>18</v>
      </c>
      <c r="H454" s="145">
        <v>54</v>
      </c>
      <c r="I454" s="146">
        <f t="shared" si="78"/>
        <v>1.5509339638167109E-3</v>
      </c>
      <c r="J454" s="146">
        <f t="shared" si="79"/>
        <v>1.638313229106273E-3</v>
      </c>
      <c r="K454" s="146">
        <f t="shared" si="80"/>
        <v>7.9751883030571551E-3</v>
      </c>
    </row>
    <row r="455" spans="1:11" ht="24" x14ac:dyDescent="0.2">
      <c r="A455" s="141" t="s">
        <v>1435</v>
      </c>
      <c r="B455" s="143" t="s">
        <v>229</v>
      </c>
      <c r="C455" s="141" t="s">
        <v>68</v>
      </c>
      <c r="D455" s="143" t="s">
        <v>734</v>
      </c>
      <c r="E455" s="141" t="s">
        <v>1190</v>
      </c>
      <c r="F455" s="221" t="s">
        <v>1191</v>
      </c>
      <c r="G455" s="144">
        <v>22</v>
      </c>
      <c r="H455" s="145">
        <v>66</v>
      </c>
      <c r="I455" s="146">
        <f t="shared" si="78"/>
        <v>1.8955859557759798E-3</v>
      </c>
      <c r="J455" s="146">
        <f t="shared" si="79"/>
        <v>2.0023828355743337E-3</v>
      </c>
      <c r="K455" s="146">
        <f t="shared" si="80"/>
        <v>9.7474523704031892E-3</v>
      </c>
    </row>
    <row r="456" spans="1:11" x14ac:dyDescent="0.2">
      <c r="A456" s="141" t="s">
        <v>1435</v>
      </c>
      <c r="B456" s="143" t="s">
        <v>229</v>
      </c>
      <c r="C456" s="141" t="s">
        <v>68</v>
      </c>
      <c r="D456" s="143" t="s">
        <v>734</v>
      </c>
      <c r="E456" s="141" t="s">
        <v>1192</v>
      </c>
      <c r="F456" s="221" t="s">
        <v>603</v>
      </c>
      <c r="G456" s="144">
        <v>11</v>
      </c>
      <c r="H456" s="145">
        <v>33</v>
      </c>
      <c r="I456" s="146">
        <f t="shared" si="78"/>
        <v>9.4779297788798991E-4</v>
      </c>
      <c r="J456" s="146">
        <f t="shared" si="79"/>
        <v>1.0011914177871669E-3</v>
      </c>
      <c r="K456" s="146">
        <f t="shared" si="80"/>
        <v>4.8737261852015946E-3</v>
      </c>
    </row>
    <row r="457" spans="1:11" ht="24" x14ac:dyDescent="0.2">
      <c r="A457" s="141" t="s">
        <v>1435</v>
      </c>
      <c r="B457" s="143" t="s">
        <v>229</v>
      </c>
      <c r="C457" s="141" t="s">
        <v>68</v>
      </c>
      <c r="D457" s="143" t="s">
        <v>734</v>
      </c>
      <c r="E457" s="141" t="s">
        <v>1193</v>
      </c>
      <c r="F457" s="221" t="s">
        <v>1194</v>
      </c>
      <c r="G457" s="144">
        <v>22</v>
      </c>
      <c r="H457" s="145">
        <v>66</v>
      </c>
      <c r="I457" s="146">
        <f t="shared" si="78"/>
        <v>1.8955859557759798E-3</v>
      </c>
      <c r="J457" s="146">
        <f t="shared" si="79"/>
        <v>2.0023828355743337E-3</v>
      </c>
      <c r="K457" s="146">
        <f t="shared" si="80"/>
        <v>9.7474523704031892E-3</v>
      </c>
    </row>
    <row r="458" spans="1:11" x14ac:dyDescent="0.2">
      <c r="A458" s="141" t="s">
        <v>1435</v>
      </c>
      <c r="B458" s="143" t="s">
        <v>229</v>
      </c>
      <c r="C458" s="141" t="s">
        <v>68</v>
      </c>
      <c r="D458" s="143" t="s">
        <v>734</v>
      </c>
      <c r="E458" s="141" t="s">
        <v>1195</v>
      </c>
      <c r="F458" s="221" t="s">
        <v>1196</v>
      </c>
      <c r="G458" s="144">
        <v>16</v>
      </c>
      <c r="H458" s="145">
        <v>48</v>
      </c>
      <c r="I458" s="146">
        <f t="shared" si="78"/>
        <v>1.3786079678370763E-3</v>
      </c>
      <c r="J458" s="146">
        <f t="shared" si="79"/>
        <v>1.4562784258722427E-3</v>
      </c>
      <c r="K458" s="146">
        <f t="shared" si="80"/>
        <v>7.0890562693841381E-3</v>
      </c>
    </row>
    <row r="459" spans="1:11" ht="24" x14ac:dyDescent="0.2">
      <c r="A459" s="141" t="s">
        <v>1435</v>
      </c>
      <c r="B459" s="143" t="s">
        <v>229</v>
      </c>
      <c r="C459" s="141" t="s">
        <v>68</v>
      </c>
      <c r="D459" s="143" t="s">
        <v>734</v>
      </c>
      <c r="E459" s="141" t="s">
        <v>1197</v>
      </c>
      <c r="F459" s="221" t="s">
        <v>1198</v>
      </c>
      <c r="G459" s="144">
        <v>57</v>
      </c>
      <c r="H459" s="145">
        <v>171</v>
      </c>
      <c r="I459" s="146">
        <f t="shared" si="78"/>
        <v>4.9112908854195845E-3</v>
      </c>
      <c r="J459" s="146">
        <f t="shared" si="79"/>
        <v>5.1879918921698643E-3</v>
      </c>
      <c r="K459" s="146">
        <f t="shared" si="80"/>
        <v>2.5254762959680991E-2</v>
      </c>
    </row>
    <row r="460" spans="1:11" x14ac:dyDescent="0.2">
      <c r="A460" s="141" t="s">
        <v>1435</v>
      </c>
      <c r="B460" s="143" t="s">
        <v>229</v>
      </c>
      <c r="C460" s="141" t="s">
        <v>68</v>
      </c>
      <c r="D460" s="143" t="s">
        <v>734</v>
      </c>
      <c r="E460" s="141" t="s">
        <v>1199</v>
      </c>
      <c r="F460" s="221" t="s">
        <v>604</v>
      </c>
      <c r="G460" s="144">
        <v>34</v>
      </c>
      <c r="H460" s="145">
        <v>102</v>
      </c>
      <c r="I460" s="146">
        <f t="shared" si="78"/>
        <v>2.929541931653787E-3</v>
      </c>
      <c r="J460" s="146">
        <f t="shared" si="79"/>
        <v>3.0945916549785157E-3</v>
      </c>
      <c r="K460" s="146">
        <f t="shared" si="80"/>
        <v>1.5064244572441293E-2</v>
      </c>
    </row>
    <row r="461" spans="1:11" x14ac:dyDescent="0.2">
      <c r="A461" s="141" t="s">
        <v>1435</v>
      </c>
      <c r="B461" s="143" t="s">
        <v>229</v>
      </c>
      <c r="C461" s="141" t="s">
        <v>68</v>
      </c>
      <c r="D461" s="143" t="s">
        <v>734</v>
      </c>
      <c r="E461" s="141" t="s">
        <v>1200</v>
      </c>
      <c r="F461" s="221" t="s">
        <v>605</v>
      </c>
      <c r="G461" s="144">
        <v>11</v>
      </c>
      <c r="H461" s="145">
        <v>33</v>
      </c>
      <c r="I461" s="146">
        <f t="shared" si="78"/>
        <v>9.4779297788798991E-4</v>
      </c>
      <c r="J461" s="146">
        <f t="shared" si="79"/>
        <v>1.0011914177871669E-3</v>
      </c>
      <c r="K461" s="146">
        <f t="shared" si="80"/>
        <v>4.8737261852015946E-3</v>
      </c>
    </row>
    <row r="462" spans="1:11" x14ac:dyDescent="0.2">
      <c r="A462" s="141" t="s">
        <v>1435</v>
      </c>
      <c r="B462" s="143" t="s">
        <v>229</v>
      </c>
      <c r="C462" s="141" t="s">
        <v>68</v>
      </c>
      <c r="D462" s="143" t="s">
        <v>734</v>
      </c>
      <c r="E462" s="141" t="s">
        <v>1201</v>
      </c>
      <c r="F462" s="221" t="s">
        <v>1202</v>
      </c>
      <c r="G462" s="144">
        <v>7</v>
      </c>
      <c r="H462" s="145">
        <v>7</v>
      </c>
      <c r="I462" s="146">
        <f t="shared" si="78"/>
        <v>2.0104699530957361E-4</v>
      </c>
      <c r="J462" s="146">
        <f t="shared" si="79"/>
        <v>2.1237393710636873E-4</v>
      </c>
      <c r="K462" s="146">
        <f t="shared" si="80"/>
        <v>1.0338207059518536E-3</v>
      </c>
    </row>
    <row r="463" spans="1:11" x14ac:dyDescent="0.2">
      <c r="A463" s="141" t="s">
        <v>1435</v>
      </c>
      <c r="B463" s="143" t="s">
        <v>229</v>
      </c>
      <c r="C463" s="141" t="s">
        <v>68</v>
      </c>
      <c r="D463" s="143" t="s">
        <v>734</v>
      </c>
      <c r="E463" s="141" t="s">
        <v>1203</v>
      </c>
      <c r="F463" s="221" t="s">
        <v>606</v>
      </c>
      <c r="G463" s="144">
        <v>4</v>
      </c>
      <c r="H463" s="145">
        <v>12</v>
      </c>
      <c r="I463" s="146">
        <f t="shared" si="78"/>
        <v>3.4465199195926908E-4</v>
      </c>
      <c r="J463" s="146">
        <f t="shared" si="79"/>
        <v>3.6406960646806068E-4</v>
      </c>
      <c r="K463" s="146">
        <f t="shared" si="80"/>
        <v>1.7722640673460345E-3</v>
      </c>
    </row>
    <row r="464" spans="1:11" hidden="1" x14ac:dyDescent="0.2">
      <c r="A464" s="141"/>
      <c r="B464" s="143"/>
      <c r="C464" s="141"/>
      <c r="D464" s="143"/>
      <c r="E464" s="141"/>
      <c r="F464" s="221"/>
      <c r="G464" s="144"/>
      <c r="H464" s="145"/>
      <c r="I464" s="146"/>
      <c r="J464" s="146"/>
      <c r="K464" s="146"/>
    </row>
    <row r="465" spans="1:11" hidden="1" x14ac:dyDescent="0.2">
      <c r="A465" s="141"/>
      <c r="B465" s="143"/>
      <c r="C465" s="141"/>
      <c r="D465" s="143"/>
      <c r="E465" s="141"/>
      <c r="F465" s="221"/>
      <c r="G465" s="144"/>
      <c r="H465" s="145"/>
      <c r="I465" s="146"/>
      <c r="J465" s="146"/>
      <c r="K465" s="146"/>
    </row>
    <row r="466" spans="1:11" x14ac:dyDescent="0.2">
      <c r="A466" s="157"/>
      <c r="B466" s="275"/>
      <c r="C466" s="157"/>
      <c r="D466" s="713" t="s">
        <v>253</v>
      </c>
      <c r="E466" s="713"/>
      <c r="F466" s="713"/>
      <c r="G466" s="163">
        <f>SUM(G451:G465)</f>
        <v>264</v>
      </c>
      <c r="H466" s="163">
        <f>SUM(H451:H465)</f>
        <v>778</v>
      </c>
      <c r="I466" s="158">
        <f t="shared" ref="I466:I485" si="81">H466/$H$633</f>
        <v>2.2344937478692612E-2</v>
      </c>
      <c r="J466" s="158">
        <f t="shared" ref="J466:J485" si="82">H466/$H$634</f>
        <v>2.3603846152679266E-2</v>
      </c>
      <c r="K466" s="158">
        <f t="shared" ref="K466:K485" si="83">H466/$H$510</f>
        <v>0.11490178703293458</v>
      </c>
    </row>
    <row r="467" spans="1:11" ht="24" x14ac:dyDescent="0.2">
      <c r="A467" s="141" t="s">
        <v>1435</v>
      </c>
      <c r="B467" s="143" t="s">
        <v>229</v>
      </c>
      <c r="C467" s="141" t="s">
        <v>68</v>
      </c>
      <c r="D467" s="143" t="s">
        <v>735</v>
      </c>
      <c r="E467" s="141" t="s">
        <v>1204</v>
      </c>
      <c r="F467" s="221" t="s">
        <v>1205</v>
      </c>
      <c r="G467" s="144">
        <v>25</v>
      </c>
      <c r="H467" s="145">
        <v>75</v>
      </c>
      <c r="I467" s="146">
        <f t="shared" si="81"/>
        <v>2.1540749497454318E-3</v>
      </c>
      <c r="J467" s="146">
        <f t="shared" si="82"/>
        <v>2.2754350404253793E-3</v>
      </c>
      <c r="K467" s="146">
        <f t="shared" si="83"/>
        <v>1.1076650420912717E-2</v>
      </c>
    </row>
    <row r="468" spans="1:11" ht="24" x14ac:dyDescent="0.2">
      <c r="A468" s="141" t="s">
        <v>1435</v>
      </c>
      <c r="B468" s="143" t="s">
        <v>229</v>
      </c>
      <c r="C468" s="141" t="s">
        <v>68</v>
      </c>
      <c r="D468" s="143" t="s">
        <v>735</v>
      </c>
      <c r="E468" s="141" t="s">
        <v>1206</v>
      </c>
      <c r="F468" s="221" t="s">
        <v>1207</v>
      </c>
      <c r="G468" s="144">
        <v>52</v>
      </c>
      <c r="H468" s="145">
        <v>156</v>
      </c>
      <c r="I468" s="146">
        <f t="shared" si="81"/>
        <v>4.4804758954704975E-3</v>
      </c>
      <c r="J468" s="146">
        <f t="shared" si="82"/>
        <v>4.7329048840847885E-3</v>
      </c>
      <c r="K468" s="146">
        <f t="shared" si="83"/>
        <v>2.303943287549845E-2</v>
      </c>
    </row>
    <row r="469" spans="1:11" x14ac:dyDescent="0.2">
      <c r="A469" s="141" t="s">
        <v>1435</v>
      </c>
      <c r="B469" s="143" t="s">
        <v>229</v>
      </c>
      <c r="C469" s="141" t="s">
        <v>68</v>
      </c>
      <c r="D469" s="143" t="s">
        <v>735</v>
      </c>
      <c r="E469" s="141" t="s">
        <v>1208</v>
      </c>
      <c r="F469" s="221" t="s">
        <v>1209</v>
      </c>
      <c r="G469" s="144">
        <v>25</v>
      </c>
      <c r="H469" s="145">
        <v>75</v>
      </c>
      <c r="I469" s="146">
        <f t="shared" si="81"/>
        <v>2.1540749497454318E-3</v>
      </c>
      <c r="J469" s="146">
        <f t="shared" si="82"/>
        <v>2.2754350404253793E-3</v>
      </c>
      <c r="K469" s="146">
        <f t="shared" si="83"/>
        <v>1.1076650420912717E-2</v>
      </c>
    </row>
    <row r="470" spans="1:11" x14ac:dyDescent="0.2">
      <c r="A470" s="141" t="s">
        <v>1435</v>
      </c>
      <c r="B470" s="143" t="s">
        <v>229</v>
      </c>
      <c r="C470" s="141" t="s">
        <v>68</v>
      </c>
      <c r="D470" s="143" t="s">
        <v>735</v>
      </c>
      <c r="E470" s="141" t="s">
        <v>1210</v>
      </c>
      <c r="F470" s="221" t="s">
        <v>1211</v>
      </c>
      <c r="G470" s="144">
        <v>17</v>
      </c>
      <c r="H470" s="145">
        <v>51</v>
      </c>
      <c r="I470" s="146">
        <f t="shared" si="81"/>
        <v>1.4647709658268935E-3</v>
      </c>
      <c r="J470" s="146">
        <f t="shared" si="82"/>
        <v>1.5472958274892579E-3</v>
      </c>
      <c r="K470" s="146">
        <f t="shared" si="83"/>
        <v>7.5321222862206466E-3</v>
      </c>
    </row>
    <row r="471" spans="1:11" ht="24" x14ac:dyDescent="0.2">
      <c r="A471" s="141" t="s">
        <v>1435</v>
      </c>
      <c r="B471" s="143" t="s">
        <v>229</v>
      </c>
      <c r="C471" s="141" t="s">
        <v>68</v>
      </c>
      <c r="D471" s="143" t="s">
        <v>735</v>
      </c>
      <c r="E471" s="141" t="s">
        <v>1212</v>
      </c>
      <c r="F471" s="221" t="s">
        <v>1213</v>
      </c>
      <c r="G471" s="144">
        <v>25</v>
      </c>
      <c r="H471" s="145">
        <v>75</v>
      </c>
      <c r="I471" s="146">
        <f t="shared" si="81"/>
        <v>2.1540749497454318E-3</v>
      </c>
      <c r="J471" s="146">
        <f t="shared" si="82"/>
        <v>2.2754350404253793E-3</v>
      </c>
      <c r="K471" s="146">
        <f t="shared" si="83"/>
        <v>1.1076650420912717E-2</v>
      </c>
    </row>
    <row r="472" spans="1:11" ht="24" x14ac:dyDescent="0.2">
      <c r="A472" s="141" t="s">
        <v>1435</v>
      </c>
      <c r="B472" s="143" t="s">
        <v>229</v>
      </c>
      <c r="C472" s="141" t="s">
        <v>68</v>
      </c>
      <c r="D472" s="143" t="s">
        <v>735</v>
      </c>
      <c r="E472" s="141" t="s">
        <v>1214</v>
      </c>
      <c r="F472" s="221" t="s">
        <v>1215</v>
      </c>
      <c r="G472" s="144">
        <v>19</v>
      </c>
      <c r="H472" s="145">
        <v>57</v>
      </c>
      <c r="I472" s="146">
        <f t="shared" si="81"/>
        <v>1.6370969618065281E-3</v>
      </c>
      <c r="J472" s="146">
        <f t="shared" si="82"/>
        <v>1.7293306307232881E-3</v>
      </c>
      <c r="K472" s="146">
        <f t="shared" si="83"/>
        <v>8.4182543198936637E-3</v>
      </c>
    </row>
    <row r="473" spans="1:11" ht="24" x14ac:dyDescent="0.2">
      <c r="A473" s="141" t="s">
        <v>1435</v>
      </c>
      <c r="B473" s="143" t="s">
        <v>229</v>
      </c>
      <c r="C473" s="141" t="s">
        <v>68</v>
      </c>
      <c r="D473" s="143" t="s">
        <v>735</v>
      </c>
      <c r="E473" s="141" t="s">
        <v>1216</v>
      </c>
      <c r="F473" s="221" t="s">
        <v>1217</v>
      </c>
      <c r="G473" s="144">
        <v>99</v>
      </c>
      <c r="H473" s="145">
        <v>297</v>
      </c>
      <c r="I473" s="146">
        <f t="shared" si="81"/>
        <v>8.5301368009919089E-3</v>
      </c>
      <c r="J473" s="146">
        <f t="shared" si="82"/>
        <v>9.0107227600845011E-3</v>
      </c>
      <c r="K473" s="146">
        <f t="shared" si="83"/>
        <v>4.3863535666814356E-2</v>
      </c>
    </row>
    <row r="474" spans="1:11" x14ac:dyDescent="0.2">
      <c r="A474" s="141" t="s">
        <v>1435</v>
      </c>
      <c r="B474" s="143" t="s">
        <v>229</v>
      </c>
      <c r="C474" s="141" t="s">
        <v>68</v>
      </c>
      <c r="D474" s="143" t="s">
        <v>735</v>
      </c>
      <c r="E474" s="141" t="s">
        <v>1218</v>
      </c>
      <c r="F474" s="221" t="s">
        <v>607</v>
      </c>
      <c r="G474" s="144">
        <v>25</v>
      </c>
      <c r="H474" s="145">
        <v>75</v>
      </c>
      <c r="I474" s="146">
        <f t="shared" si="81"/>
        <v>2.1540749497454318E-3</v>
      </c>
      <c r="J474" s="146">
        <f t="shared" si="82"/>
        <v>2.2754350404253793E-3</v>
      </c>
      <c r="K474" s="146">
        <f t="shared" si="83"/>
        <v>1.1076650420912717E-2</v>
      </c>
    </row>
    <row r="475" spans="1:11" x14ac:dyDescent="0.2">
      <c r="A475" s="141" t="s">
        <v>1435</v>
      </c>
      <c r="B475" s="143" t="s">
        <v>229</v>
      </c>
      <c r="C475" s="141" t="s">
        <v>68</v>
      </c>
      <c r="D475" s="143" t="s">
        <v>735</v>
      </c>
      <c r="E475" s="141" t="s">
        <v>1219</v>
      </c>
      <c r="F475" s="221" t="s">
        <v>608</v>
      </c>
      <c r="G475" s="144">
        <v>21</v>
      </c>
      <c r="H475" s="145">
        <v>63</v>
      </c>
      <c r="I475" s="146">
        <f t="shared" si="81"/>
        <v>1.8094229577861626E-3</v>
      </c>
      <c r="J475" s="146">
        <f t="shared" si="82"/>
        <v>1.9113654339573186E-3</v>
      </c>
      <c r="K475" s="146">
        <f t="shared" si="83"/>
        <v>9.3043863535666807E-3</v>
      </c>
    </row>
    <row r="476" spans="1:11" x14ac:dyDescent="0.2">
      <c r="A476" s="141" t="s">
        <v>1435</v>
      </c>
      <c r="B476" s="143" t="s">
        <v>229</v>
      </c>
      <c r="C476" s="141" t="s">
        <v>68</v>
      </c>
      <c r="D476" s="143" t="s">
        <v>735</v>
      </c>
      <c r="E476" s="141" t="s">
        <v>1220</v>
      </c>
      <c r="F476" s="221" t="s">
        <v>1221</v>
      </c>
      <c r="G476" s="144">
        <v>37</v>
      </c>
      <c r="H476" s="145">
        <v>111</v>
      </c>
      <c r="I476" s="146">
        <f t="shared" si="81"/>
        <v>3.1880309256232388E-3</v>
      </c>
      <c r="J476" s="146">
        <f t="shared" si="82"/>
        <v>3.3676438598295613E-3</v>
      </c>
      <c r="K476" s="146">
        <f t="shared" si="83"/>
        <v>1.6393442622950821E-2</v>
      </c>
    </row>
    <row r="477" spans="1:11" x14ac:dyDescent="0.2">
      <c r="A477" s="141" t="s">
        <v>1435</v>
      </c>
      <c r="B477" s="143" t="s">
        <v>229</v>
      </c>
      <c r="C477" s="141" t="s">
        <v>68</v>
      </c>
      <c r="D477" s="143" t="s">
        <v>735</v>
      </c>
      <c r="E477" s="141" t="s">
        <v>1222</v>
      </c>
      <c r="F477" s="221" t="s">
        <v>1223</v>
      </c>
      <c r="G477" s="144">
        <v>7</v>
      </c>
      <c r="H477" s="145">
        <v>21</v>
      </c>
      <c r="I477" s="146">
        <f t="shared" si="81"/>
        <v>6.0314098592872088E-4</v>
      </c>
      <c r="J477" s="146">
        <f t="shared" si="82"/>
        <v>6.3712181131910623E-4</v>
      </c>
      <c r="K477" s="146">
        <f t="shared" si="83"/>
        <v>3.1014621178555605E-3</v>
      </c>
    </row>
    <row r="478" spans="1:11" x14ac:dyDescent="0.2">
      <c r="A478" s="141" t="s">
        <v>1435</v>
      </c>
      <c r="B478" s="143" t="s">
        <v>229</v>
      </c>
      <c r="C478" s="141" t="s">
        <v>68</v>
      </c>
      <c r="D478" s="143" t="s">
        <v>735</v>
      </c>
      <c r="E478" s="141" t="s">
        <v>1224</v>
      </c>
      <c r="F478" s="221" t="s">
        <v>609</v>
      </c>
      <c r="G478" s="144">
        <v>6</v>
      </c>
      <c r="H478" s="145">
        <v>18</v>
      </c>
      <c r="I478" s="146">
        <f t="shared" si="81"/>
        <v>5.169779879389036E-4</v>
      </c>
      <c r="J478" s="146">
        <f t="shared" si="82"/>
        <v>5.4610440970209099E-4</v>
      </c>
      <c r="K478" s="146">
        <f t="shared" si="83"/>
        <v>2.658396101019052E-3</v>
      </c>
    </row>
    <row r="479" spans="1:11" ht="24" x14ac:dyDescent="0.2">
      <c r="A479" s="141" t="s">
        <v>1435</v>
      </c>
      <c r="B479" s="143" t="s">
        <v>229</v>
      </c>
      <c r="C479" s="141" t="s">
        <v>68</v>
      </c>
      <c r="D479" s="143" t="s">
        <v>735</v>
      </c>
      <c r="E479" s="141" t="s">
        <v>1225</v>
      </c>
      <c r="F479" s="221" t="s">
        <v>1151</v>
      </c>
      <c r="G479" s="144">
        <v>28</v>
      </c>
      <c r="H479" s="145">
        <v>84</v>
      </c>
      <c r="I479" s="146">
        <f t="shared" si="81"/>
        <v>2.4125639437148835E-3</v>
      </c>
      <c r="J479" s="146">
        <f t="shared" si="82"/>
        <v>2.5484872452764249E-3</v>
      </c>
      <c r="K479" s="146">
        <f t="shared" si="83"/>
        <v>1.2405848471422242E-2</v>
      </c>
    </row>
    <row r="480" spans="1:11" x14ac:dyDescent="0.2">
      <c r="A480" s="141" t="s">
        <v>1435</v>
      </c>
      <c r="B480" s="143" t="s">
        <v>229</v>
      </c>
      <c r="C480" s="141" t="s">
        <v>68</v>
      </c>
      <c r="D480" s="143" t="s">
        <v>735</v>
      </c>
      <c r="E480" s="141" t="s">
        <v>1226</v>
      </c>
      <c r="F480" s="221" t="s">
        <v>552</v>
      </c>
      <c r="G480" s="144">
        <v>11</v>
      </c>
      <c r="H480" s="145">
        <v>33</v>
      </c>
      <c r="I480" s="146">
        <f t="shared" si="81"/>
        <v>9.4779297788798991E-4</v>
      </c>
      <c r="J480" s="146">
        <f t="shared" si="82"/>
        <v>1.0011914177871669E-3</v>
      </c>
      <c r="K480" s="146">
        <f t="shared" si="83"/>
        <v>4.8737261852015946E-3</v>
      </c>
    </row>
    <row r="481" spans="1:11" x14ac:dyDescent="0.2">
      <c r="A481" s="141" t="s">
        <v>1435</v>
      </c>
      <c r="B481" s="143" t="s">
        <v>229</v>
      </c>
      <c r="C481" s="141" t="s">
        <v>68</v>
      </c>
      <c r="D481" s="143" t="s">
        <v>735</v>
      </c>
      <c r="E481" s="141" t="s">
        <v>1227</v>
      </c>
      <c r="F481" s="221" t="s">
        <v>1228</v>
      </c>
      <c r="G481" s="144">
        <v>13</v>
      </c>
      <c r="H481" s="145">
        <v>39</v>
      </c>
      <c r="I481" s="146">
        <f t="shared" si="81"/>
        <v>1.1201189738676244E-3</v>
      </c>
      <c r="J481" s="146">
        <f t="shared" si="82"/>
        <v>1.1832262210211971E-3</v>
      </c>
      <c r="K481" s="146">
        <f t="shared" si="83"/>
        <v>5.7598582188746125E-3</v>
      </c>
    </row>
    <row r="482" spans="1:11" x14ac:dyDescent="0.2">
      <c r="A482" s="141" t="s">
        <v>1435</v>
      </c>
      <c r="B482" s="143" t="s">
        <v>229</v>
      </c>
      <c r="C482" s="141" t="s">
        <v>68</v>
      </c>
      <c r="D482" s="143" t="s">
        <v>735</v>
      </c>
      <c r="E482" s="141" t="s">
        <v>1229</v>
      </c>
      <c r="F482" s="221" t="s">
        <v>1230</v>
      </c>
      <c r="G482" s="144">
        <v>30</v>
      </c>
      <c r="H482" s="145">
        <v>90</v>
      </c>
      <c r="I482" s="146">
        <f t="shared" si="81"/>
        <v>2.5848899396945179E-3</v>
      </c>
      <c r="J482" s="146">
        <f t="shared" si="82"/>
        <v>2.7305220485104552E-3</v>
      </c>
      <c r="K482" s="146">
        <f t="shared" si="83"/>
        <v>1.3291980505095259E-2</v>
      </c>
    </row>
    <row r="483" spans="1:11" x14ac:dyDescent="0.2">
      <c r="A483" s="141" t="s">
        <v>1435</v>
      </c>
      <c r="B483" s="143" t="s">
        <v>229</v>
      </c>
      <c r="C483" s="141" t="s">
        <v>68</v>
      </c>
      <c r="D483" s="143" t="s">
        <v>735</v>
      </c>
      <c r="E483" s="141" t="s">
        <v>1231</v>
      </c>
      <c r="F483" s="221" t="s">
        <v>610</v>
      </c>
      <c r="G483" s="144">
        <v>15</v>
      </c>
      <c r="H483" s="145">
        <v>45</v>
      </c>
      <c r="I483" s="146">
        <f t="shared" si="81"/>
        <v>1.2924449698472589E-3</v>
      </c>
      <c r="J483" s="146">
        <f t="shared" si="82"/>
        <v>1.3652610242552276E-3</v>
      </c>
      <c r="K483" s="146">
        <f t="shared" si="83"/>
        <v>6.6459902525476296E-3</v>
      </c>
    </row>
    <row r="484" spans="1:11" x14ac:dyDescent="0.2">
      <c r="A484" s="141" t="s">
        <v>1435</v>
      </c>
      <c r="B484" s="143" t="s">
        <v>229</v>
      </c>
      <c r="C484" s="141" t="s">
        <v>68</v>
      </c>
      <c r="D484" s="143" t="s">
        <v>735</v>
      </c>
      <c r="E484" s="141" t="s">
        <v>1232</v>
      </c>
      <c r="F484" s="221" t="s">
        <v>1233</v>
      </c>
      <c r="G484" s="144">
        <v>6</v>
      </c>
      <c r="H484" s="145">
        <v>18</v>
      </c>
      <c r="I484" s="146">
        <f t="shared" si="81"/>
        <v>5.169779879389036E-4</v>
      </c>
      <c r="J484" s="146">
        <f t="shared" si="82"/>
        <v>5.4610440970209099E-4</v>
      </c>
      <c r="K484" s="146">
        <f t="shared" si="83"/>
        <v>2.658396101019052E-3</v>
      </c>
    </row>
    <row r="485" spans="1:11" x14ac:dyDescent="0.2">
      <c r="A485" s="141" t="s">
        <v>1435</v>
      </c>
      <c r="B485" s="143" t="s">
        <v>229</v>
      </c>
      <c r="C485" s="141" t="s">
        <v>68</v>
      </c>
      <c r="D485" s="143" t="s">
        <v>735</v>
      </c>
      <c r="E485" s="141" t="s">
        <v>1234</v>
      </c>
      <c r="F485" s="221" t="s">
        <v>1235</v>
      </c>
      <c r="G485" s="144">
        <v>13</v>
      </c>
      <c r="H485" s="145">
        <v>39</v>
      </c>
      <c r="I485" s="146">
        <f t="shared" si="81"/>
        <v>1.1201189738676244E-3</v>
      </c>
      <c r="J485" s="146">
        <f t="shared" si="82"/>
        <v>1.1832262210211971E-3</v>
      </c>
      <c r="K485" s="146">
        <f t="shared" si="83"/>
        <v>5.7598582188746125E-3</v>
      </c>
    </row>
    <row r="486" spans="1:11" hidden="1" x14ac:dyDescent="0.2">
      <c r="A486" s="141"/>
      <c r="B486" s="143"/>
      <c r="C486" s="141"/>
      <c r="D486" s="143"/>
      <c r="E486" s="141"/>
      <c r="F486" s="221"/>
      <c r="G486" s="144"/>
      <c r="H486" s="145"/>
      <c r="I486" s="146"/>
      <c r="J486" s="146"/>
      <c r="K486" s="146"/>
    </row>
    <row r="487" spans="1:11" hidden="1" x14ac:dyDescent="0.2">
      <c r="A487" s="141"/>
      <c r="B487" s="143"/>
      <c r="C487" s="141"/>
      <c r="D487" s="143"/>
      <c r="E487" s="141"/>
      <c r="F487" s="221"/>
      <c r="G487" s="144"/>
      <c r="H487" s="145"/>
      <c r="I487" s="146"/>
      <c r="J487" s="146"/>
      <c r="K487" s="146"/>
    </row>
    <row r="488" spans="1:11" x14ac:dyDescent="0.2">
      <c r="A488" s="157"/>
      <c r="B488" s="275"/>
      <c r="C488" s="157"/>
      <c r="D488" s="713" t="s">
        <v>640</v>
      </c>
      <c r="E488" s="713"/>
      <c r="F488" s="713"/>
      <c r="G488" s="163">
        <f>SUM(G467:G487)</f>
        <v>474</v>
      </c>
      <c r="H488" s="163">
        <f>SUM(H467:H487)</f>
        <v>1422</v>
      </c>
      <c r="I488" s="158">
        <f>H488/$H$633</f>
        <v>4.0841261047173387E-2</v>
      </c>
      <c r="J488" s="158">
        <f>H488/$H$634</f>
        <v>4.3142248366465193E-2</v>
      </c>
      <c r="K488" s="158">
        <f t="shared" ref="K488:K493" si="84">H488/$H$510</f>
        <v>0.21001329198050508</v>
      </c>
    </row>
    <row r="489" spans="1:11" x14ac:dyDescent="0.2">
      <c r="A489" s="159"/>
      <c r="B489" s="276"/>
      <c r="C489" s="711" t="s">
        <v>248</v>
      </c>
      <c r="D489" s="711"/>
      <c r="E489" s="711"/>
      <c r="F489" s="711"/>
      <c r="G489" s="165">
        <f>G447+G466+G488+G450</f>
        <v>2130</v>
      </c>
      <c r="H489" s="165">
        <f>H447+H466+H488+H450</f>
        <v>6335</v>
      </c>
      <c r="I489" s="160">
        <f>H489/$H$633</f>
        <v>0.18194753075516412</v>
      </c>
      <c r="J489" s="160">
        <f>H489/$H$634</f>
        <v>0.1921984130812637</v>
      </c>
      <c r="K489" s="160">
        <f t="shared" si="84"/>
        <v>0.93560773888642745</v>
      </c>
    </row>
    <row r="490" spans="1:11" x14ac:dyDescent="0.2">
      <c r="A490" s="141" t="s">
        <v>1435</v>
      </c>
      <c r="B490" s="143" t="s">
        <v>229</v>
      </c>
      <c r="C490" s="141" t="s">
        <v>67</v>
      </c>
      <c r="D490" s="143" t="s">
        <v>732</v>
      </c>
      <c r="E490" s="141" t="s">
        <v>1236</v>
      </c>
      <c r="F490" s="221" t="s">
        <v>1237</v>
      </c>
      <c r="G490" s="144">
        <v>9</v>
      </c>
      <c r="H490" s="145">
        <v>27</v>
      </c>
      <c r="I490" s="146">
        <v>7.0320191270920301E-4</v>
      </c>
      <c r="J490" s="146">
        <v>1.2798634812286699E-2</v>
      </c>
      <c r="K490" s="146">
        <f t="shared" si="84"/>
        <v>3.9875941515285776E-3</v>
      </c>
    </row>
    <row r="491" spans="1:11" x14ac:dyDescent="0.2">
      <c r="A491" s="141" t="s">
        <v>1435</v>
      </c>
      <c r="B491" s="143" t="s">
        <v>229</v>
      </c>
      <c r="C491" s="141" t="s">
        <v>67</v>
      </c>
      <c r="D491" s="143" t="s">
        <v>732</v>
      </c>
      <c r="E491" s="141" t="s">
        <v>1238</v>
      </c>
      <c r="F491" s="221" t="s">
        <v>1239</v>
      </c>
      <c r="G491" s="144">
        <v>9</v>
      </c>
      <c r="H491" s="145">
        <v>27</v>
      </c>
      <c r="I491" s="146">
        <v>7.0320191270920301E-4</v>
      </c>
      <c r="J491" s="146">
        <v>1.2798634812286699E-2</v>
      </c>
      <c r="K491" s="146">
        <f t="shared" si="84"/>
        <v>3.9875941515285776E-3</v>
      </c>
    </row>
    <row r="492" spans="1:11" ht="24" x14ac:dyDescent="0.2">
      <c r="A492" s="141" t="s">
        <v>1435</v>
      </c>
      <c r="B492" s="143" t="s">
        <v>229</v>
      </c>
      <c r="C492" s="141" t="s">
        <v>67</v>
      </c>
      <c r="D492" s="143" t="s">
        <v>732</v>
      </c>
      <c r="E492" s="141" t="s">
        <v>1240</v>
      </c>
      <c r="F492" s="221" t="s">
        <v>1241</v>
      </c>
      <c r="G492" s="144">
        <v>9</v>
      </c>
      <c r="H492" s="145">
        <v>27</v>
      </c>
      <c r="I492" s="146">
        <v>7.0320191270920301E-4</v>
      </c>
      <c r="J492" s="146">
        <v>1.2798634812286699E-2</v>
      </c>
      <c r="K492" s="146">
        <f t="shared" si="84"/>
        <v>3.9875941515285776E-3</v>
      </c>
    </row>
    <row r="493" spans="1:11" x14ac:dyDescent="0.2">
      <c r="A493" s="141" t="s">
        <v>1435</v>
      </c>
      <c r="B493" s="143" t="s">
        <v>229</v>
      </c>
      <c r="C493" s="141" t="s">
        <v>67</v>
      </c>
      <c r="D493" s="143" t="s">
        <v>732</v>
      </c>
      <c r="E493" s="141" t="s">
        <v>1242</v>
      </c>
      <c r="F493" s="221" t="s">
        <v>1163</v>
      </c>
      <c r="G493" s="144">
        <v>9</v>
      </c>
      <c r="H493" s="145">
        <v>27</v>
      </c>
      <c r="I493" s="146">
        <f>H493/$H$633</f>
        <v>7.7546698190835545E-4</v>
      </c>
      <c r="J493" s="146">
        <f>H493/$H$635</f>
        <v>1.4539579967689823E-2</v>
      </c>
      <c r="K493" s="146">
        <f t="shared" si="84"/>
        <v>3.9875941515285776E-3</v>
      </c>
    </row>
    <row r="494" spans="1:11" hidden="1" x14ac:dyDescent="0.2">
      <c r="A494" s="141"/>
      <c r="B494" s="143"/>
      <c r="C494" s="141"/>
      <c r="D494" s="143"/>
      <c r="E494" s="141"/>
      <c r="F494" s="221"/>
      <c r="G494" s="144"/>
      <c r="H494" s="145"/>
      <c r="I494" s="146"/>
      <c r="J494" s="146"/>
      <c r="K494" s="146"/>
    </row>
    <row r="495" spans="1:11" x14ac:dyDescent="0.2">
      <c r="A495" s="157"/>
      <c r="B495" s="275"/>
      <c r="C495" s="157"/>
      <c r="D495" s="713" t="s">
        <v>252</v>
      </c>
      <c r="E495" s="713"/>
      <c r="F495" s="713"/>
      <c r="G495" s="163">
        <f>SUM(G490:G494)</f>
        <v>36</v>
      </c>
      <c r="H495" s="163">
        <f>SUM(H490:H494)</f>
        <v>108</v>
      </c>
      <c r="I495" s="158">
        <f t="shared" ref="I495:I506" si="85">H495/$H$633</f>
        <v>3.1018679276334218E-3</v>
      </c>
      <c r="J495" s="158">
        <f t="shared" ref="J495:J506" si="86">H495/$H$635</f>
        <v>5.8158319870759291E-2</v>
      </c>
      <c r="K495" s="158">
        <f>H495/$H$510</f>
        <v>1.595037660611431E-2</v>
      </c>
    </row>
    <row r="496" spans="1:11" x14ac:dyDescent="0.2">
      <c r="A496" s="141" t="s">
        <v>1435</v>
      </c>
      <c r="B496" s="143" t="s">
        <v>229</v>
      </c>
      <c r="C496" s="141" t="s">
        <v>67</v>
      </c>
      <c r="D496" s="143" t="s">
        <v>735</v>
      </c>
      <c r="E496" s="141" t="s">
        <v>1243</v>
      </c>
      <c r="F496" s="221" t="s">
        <v>611</v>
      </c>
      <c r="G496" s="144">
        <v>9</v>
      </c>
      <c r="H496" s="145">
        <v>27</v>
      </c>
      <c r="I496" s="146">
        <f t="shared" si="85"/>
        <v>7.7546698190835545E-4</v>
      </c>
      <c r="J496" s="146">
        <f t="shared" si="86"/>
        <v>1.4539579967689823E-2</v>
      </c>
      <c r="K496" s="146">
        <f t="shared" ref="K496:K506" si="87">H496/$H$510</f>
        <v>3.9875941515285776E-3</v>
      </c>
    </row>
    <row r="497" spans="1:11" x14ac:dyDescent="0.2">
      <c r="A497" s="141" t="s">
        <v>1435</v>
      </c>
      <c r="B497" s="143" t="s">
        <v>229</v>
      </c>
      <c r="C497" s="141" t="s">
        <v>67</v>
      </c>
      <c r="D497" s="143" t="s">
        <v>735</v>
      </c>
      <c r="E497" s="141" t="s">
        <v>1244</v>
      </c>
      <c r="F497" s="221" t="s">
        <v>612</v>
      </c>
      <c r="G497" s="144">
        <v>15</v>
      </c>
      <c r="H497" s="145">
        <v>45</v>
      </c>
      <c r="I497" s="146">
        <f t="shared" si="85"/>
        <v>1.2924449698472589E-3</v>
      </c>
      <c r="J497" s="146">
        <f t="shared" si="86"/>
        <v>2.4232633279483037E-2</v>
      </c>
      <c r="K497" s="146">
        <f t="shared" si="87"/>
        <v>6.6459902525476296E-3</v>
      </c>
    </row>
    <row r="498" spans="1:11" x14ac:dyDescent="0.2">
      <c r="A498" s="141" t="s">
        <v>1435</v>
      </c>
      <c r="B498" s="143" t="s">
        <v>229</v>
      </c>
      <c r="C498" s="141" t="s">
        <v>67</v>
      </c>
      <c r="D498" s="143" t="s">
        <v>735</v>
      </c>
      <c r="E498" s="141" t="s">
        <v>1245</v>
      </c>
      <c r="F498" s="221" t="s">
        <v>1246</v>
      </c>
      <c r="G498" s="144">
        <v>19</v>
      </c>
      <c r="H498" s="145">
        <v>57</v>
      </c>
      <c r="I498" s="146">
        <f t="shared" si="85"/>
        <v>1.6370969618065281E-3</v>
      </c>
      <c r="J498" s="146">
        <f t="shared" si="86"/>
        <v>3.0694668820678513E-2</v>
      </c>
      <c r="K498" s="146">
        <f t="shared" si="87"/>
        <v>8.4182543198936637E-3</v>
      </c>
    </row>
    <row r="499" spans="1:11" ht="24" x14ac:dyDescent="0.2">
      <c r="A499" s="141" t="s">
        <v>1435</v>
      </c>
      <c r="B499" s="143" t="s">
        <v>229</v>
      </c>
      <c r="C499" s="141" t="s">
        <v>67</v>
      </c>
      <c r="D499" s="143" t="s">
        <v>735</v>
      </c>
      <c r="E499" s="141" t="s">
        <v>1247</v>
      </c>
      <c r="F499" s="221" t="s">
        <v>1248</v>
      </c>
      <c r="G499" s="144">
        <v>16</v>
      </c>
      <c r="H499" s="145">
        <v>48</v>
      </c>
      <c r="I499" s="146">
        <f t="shared" si="85"/>
        <v>1.3786079678370763E-3</v>
      </c>
      <c r="J499" s="146">
        <f t="shared" si="86"/>
        <v>2.5848142164781908E-2</v>
      </c>
      <c r="K499" s="146">
        <f t="shared" si="87"/>
        <v>7.0890562693841381E-3</v>
      </c>
    </row>
    <row r="500" spans="1:11" x14ac:dyDescent="0.2">
      <c r="A500" s="141" t="s">
        <v>1435</v>
      </c>
      <c r="B500" s="143" t="s">
        <v>229</v>
      </c>
      <c r="C500" s="141" t="s">
        <v>67</v>
      </c>
      <c r="D500" s="143" t="s">
        <v>735</v>
      </c>
      <c r="E500" s="141" t="s">
        <v>1249</v>
      </c>
      <c r="F500" s="221" t="s">
        <v>1250</v>
      </c>
      <c r="G500" s="144">
        <v>5</v>
      </c>
      <c r="H500" s="145">
        <v>15</v>
      </c>
      <c r="I500" s="146">
        <f t="shared" si="85"/>
        <v>4.3081498994908631E-4</v>
      </c>
      <c r="J500" s="146">
        <f t="shared" si="86"/>
        <v>8.0775444264943458E-3</v>
      </c>
      <c r="K500" s="146">
        <f t="shared" si="87"/>
        <v>2.215330084182543E-3</v>
      </c>
    </row>
    <row r="501" spans="1:11" ht="24" x14ac:dyDescent="0.2">
      <c r="A501" s="141" t="s">
        <v>1435</v>
      </c>
      <c r="B501" s="143" t="s">
        <v>229</v>
      </c>
      <c r="C501" s="141" t="s">
        <v>67</v>
      </c>
      <c r="D501" s="143" t="s">
        <v>735</v>
      </c>
      <c r="E501" s="141" t="s">
        <v>1620</v>
      </c>
      <c r="F501" s="221" t="s">
        <v>1621</v>
      </c>
      <c r="G501" s="144">
        <v>16</v>
      </c>
      <c r="H501" s="145">
        <v>48</v>
      </c>
      <c r="I501" s="146">
        <f t="shared" si="85"/>
        <v>1.3786079678370763E-3</v>
      </c>
      <c r="J501" s="146">
        <f t="shared" si="86"/>
        <v>2.5848142164781908E-2</v>
      </c>
      <c r="K501" s="146">
        <f t="shared" si="87"/>
        <v>7.0890562693841381E-3</v>
      </c>
    </row>
    <row r="502" spans="1:11" ht="24" x14ac:dyDescent="0.2">
      <c r="A502" s="141" t="s">
        <v>1435</v>
      </c>
      <c r="B502" s="143" t="s">
        <v>229</v>
      </c>
      <c r="C502" s="141" t="s">
        <v>67</v>
      </c>
      <c r="D502" s="143" t="s">
        <v>735</v>
      </c>
      <c r="E502" s="141" t="s">
        <v>1622</v>
      </c>
      <c r="F502" s="221" t="s">
        <v>1623</v>
      </c>
      <c r="G502" s="144">
        <v>11</v>
      </c>
      <c r="H502" s="145">
        <v>33</v>
      </c>
      <c r="I502" s="146">
        <f t="shared" si="85"/>
        <v>9.4779297788798991E-4</v>
      </c>
      <c r="J502" s="146">
        <f t="shared" si="86"/>
        <v>1.7770597738287562E-2</v>
      </c>
      <c r="K502" s="146">
        <f t="shared" si="87"/>
        <v>4.8737261852015946E-3</v>
      </c>
    </row>
    <row r="503" spans="1:11" ht="24" x14ac:dyDescent="0.2">
      <c r="A503" s="141" t="s">
        <v>1435</v>
      </c>
      <c r="B503" s="143" t="s">
        <v>229</v>
      </c>
      <c r="C503" s="141" t="s">
        <v>67</v>
      </c>
      <c r="D503" s="143" t="s">
        <v>735</v>
      </c>
      <c r="E503" s="141" t="s">
        <v>1251</v>
      </c>
      <c r="F503" s="221" t="s">
        <v>1252</v>
      </c>
      <c r="G503" s="144">
        <v>3</v>
      </c>
      <c r="H503" s="145">
        <v>9</v>
      </c>
      <c r="I503" s="146">
        <f t="shared" si="85"/>
        <v>2.584889939694518E-4</v>
      </c>
      <c r="J503" s="146">
        <f t="shared" si="86"/>
        <v>4.8465266558966073E-3</v>
      </c>
      <c r="K503" s="146">
        <f t="shared" si="87"/>
        <v>1.329198050509526E-3</v>
      </c>
    </row>
    <row r="504" spans="1:11" x14ac:dyDescent="0.2">
      <c r="A504" s="141" t="s">
        <v>1435</v>
      </c>
      <c r="B504" s="143" t="s">
        <v>229</v>
      </c>
      <c r="C504" s="141" t="s">
        <v>67</v>
      </c>
      <c r="D504" s="143" t="s">
        <v>735</v>
      </c>
      <c r="E504" s="141" t="s">
        <v>1253</v>
      </c>
      <c r="F504" s="221" t="s">
        <v>1254</v>
      </c>
      <c r="G504" s="144">
        <v>6</v>
      </c>
      <c r="H504" s="145">
        <v>18</v>
      </c>
      <c r="I504" s="146">
        <f t="shared" si="85"/>
        <v>5.169779879389036E-4</v>
      </c>
      <c r="J504" s="146">
        <f t="shared" si="86"/>
        <v>9.6930533117932146E-3</v>
      </c>
      <c r="K504" s="146">
        <f t="shared" si="87"/>
        <v>2.658396101019052E-3</v>
      </c>
    </row>
    <row r="505" spans="1:11" x14ac:dyDescent="0.2">
      <c r="A505" s="141" t="s">
        <v>1435</v>
      </c>
      <c r="B505" s="143" t="s">
        <v>229</v>
      </c>
      <c r="C505" s="141" t="s">
        <v>67</v>
      </c>
      <c r="D505" s="143" t="s">
        <v>735</v>
      </c>
      <c r="E505" s="141" t="s">
        <v>1255</v>
      </c>
      <c r="F505" s="221" t="s">
        <v>613</v>
      </c>
      <c r="G505" s="144">
        <v>9</v>
      </c>
      <c r="H505" s="145">
        <v>27</v>
      </c>
      <c r="I505" s="146">
        <f t="shared" si="85"/>
        <v>7.7546698190835545E-4</v>
      </c>
      <c r="J505" s="146">
        <f t="shared" si="86"/>
        <v>1.4539579967689823E-2</v>
      </c>
      <c r="K505" s="146">
        <f t="shared" si="87"/>
        <v>3.9875941515285776E-3</v>
      </c>
    </row>
    <row r="506" spans="1:11" x14ac:dyDescent="0.2">
      <c r="A506" s="141" t="s">
        <v>1435</v>
      </c>
      <c r="B506" s="143" t="s">
        <v>229</v>
      </c>
      <c r="C506" s="141" t="s">
        <v>67</v>
      </c>
      <c r="D506" s="143" t="s">
        <v>735</v>
      </c>
      <c r="E506" s="141" t="s">
        <v>1624</v>
      </c>
      <c r="F506" s="221" t="s">
        <v>550</v>
      </c>
      <c r="G506" s="144">
        <v>1</v>
      </c>
      <c r="H506" s="145">
        <v>1</v>
      </c>
      <c r="I506" s="146">
        <f t="shared" si="85"/>
        <v>2.8720999329939088E-5</v>
      </c>
      <c r="J506" s="146">
        <f t="shared" si="86"/>
        <v>5.3850296176628971E-4</v>
      </c>
      <c r="K506" s="146">
        <f t="shared" si="87"/>
        <v>1.4768867227883621E-4</v>
      </c>
    </row>
    <row r="507" spans="1:11" hidden="1" x14ac:dyDescent="0.2">
      <c r="A507" s="141"/>
      <c r="B507" s="143"/>
      <c r="C507" s="141"/>
      <c r="D507" s="143"/>
      <c r="E507" s="141"/>
      <c r="F507" s="221"/>
      <c r="G507" s="144"/>
      <c r="H507" s="145"/>
      <c r="I507" s="146"/>
      <c r="J507" s="146"/>
      <c r="K507" s="146"/>
    </row>
    <row r="508" spans="1:11" x14ac:dyDescent="0.2">
      <c r="A508" s="157"/>
      <c r="B508" s="275"/>
      <c r="C508" s="157"/>
      <c r="D508" s="713" t="s">
        <v>640</v>
      </c>
      <c r="E508" s="713"/>
      <c r="F508" s="713"/>
      <c r="G508" s="163">
        <f>SUM(G496:G507)</f>
        <v>110</v>
      </c>
      <c r="H508" s="163">
        <f>SUM(H496:H507)</f>
        <v>328</v>
      </c>
      <c r="I508" s="158">
        <f t="shared" ref="I508:I549" si="88">H508/$H$633</f>
        <v>9.4204877802200205E-3</v>
      </c>
      <c r="J508" s="158">
        <f>H508/$H$635</f>
        <v>0.17662897145934303</v>
      </c>
      <c r="K508" s="158">
        <f>H508/$H$510</f>
        <v>4.8441884507458281E-2</v>
      </c>
    </row>
    <row r="509" spans="1:11" x14ac:dyDescent="0.2">
      <c r="A509" s="159"/>
      <c r="B509" s="276"/>
      <c r="C509" s="711" t="s">
        <v>250</v>
      </c>
      <c r="D509" s="711"/>
      <c r="E509" s="711"/>
      <c r="F509" s="711"/>
      <c r="G509" s="165">
        <f>G495+G508</f>
        <v>146</v>
      </c>
      <c r="H509" s="165">
        <f>H495+H508</f>
        <v>436</v>
      </c>
      <c r="I509" s="160">
        <f t="shared" si="88"/>
        <v>1.2522355707853443E-2</v>
      </c>
      <c r="J509" s="160">
        <f>H509/$H$635</f>
        <v>0.23478729133010232</v>
      </c>
      <c r="K509" s="160">
        <f>H509/$H$510</f>
        <v>6.4392261113572588E-2</v>
      </c>
    </row>
    <row r="510" spans="1:11" x14ac:dyDescent="0.2">
      <c r="A510" s="161"/>
      <c r="B510" s="712" t="s">
        <v>281</v>
      </c>
      <c r="C510" s="712"/>
      <c r="D510" s="712"/>
      <c r="E510" s="712"/>
      <c r="F510" s="712"/>
      <c r="G510" s="166">
        <f>G489+G509</f>
        <v>2276</v>
      </c>
      <c r="H510" s="166">
        <f>H489+H509</f>
        <v>6771</v>
      </c>
      <c r="I510" s="169">
        <f t="shared" si="88"/>
        <v>0.19446988646301758</v>
      </c>
      <c r="J510" s="162"/>
      <c r="K510" s="162"/>
    </row>
    <row r="511" spans="1:11" x14ac:dyDescent="0.2">
      <c r="A511" s="141" t="s">
        <v>1435</v>
      </c>
      <c r="B511" s="143" t="s">
        <v>276</v>
      </c>
      <c r="C511" s="141" t="s">
        <v>68</v>
      </c>
      <c r="D511" s="143" t="s">
        <v>736</v>
      </c>
      <c r="E511" s="141" t="s">
        <v>1256</v>
      </c>
      <c r="F511" s="221" t="s">
        <v>614</v>
      </c>
      <c r="G511" s="144">
        <v>51</v>
      </c>
      <c r="H511" s="145">
        <v>51</v>
      </c>
      <c r="I511" s="146">
        <f t="shared" si="88"/>
        <v>1.4647709658268935E-3</v>
      </c>
      <c r="J511" s="146">
        <f t="shared" ref="J511:J528" si="89">H511/$H$634</f>
        <v>1.5472958274892579E-3</v>
      </c>
      <c r="K511" s="146">
        <f t="shared" ref="K511:K528" si="90">H511/$H$529</f>
        <v>7.5780089153046057E-2</v>
      </c>
    </row>
    <row r="512" spans="1:11" x14ac:dyDescent="0.2">
      <c r="A512" s="141" t="s">
        <v>1435</v>
      </c>
      <c r="B512" s="143" t="s">
        <v>276</v>
      </c>
      <c r="C512" s="141" t="s">
        <v>68</v>
      </c>
      <c r="D512" s="143" t="s">
        <v>736</v>
      </c>
      <c r="E512" s="141" t="s">
        <v>1257</v>
      </c>
      <c r="F512" s="221" t="s">
        <v>615</v>
      </c>
      <c r="G512" s="144">
        <v>37</v>
      </c>
      <c r="H512" s="145">
        <v>111</v>
      </c>
      <c r="I512" s="146">
        <f t="shared" si="88"/>
        <v>3.1880309256232388E-3</v>
      </c>
      <c r="J512" s="146">
        <f t="shared" si="89"/>
        <v>3.3676438598295613E-3</v>
      </c>
      <c r="K512" s="146">
        <f t="shared" si="90"/>
        <v>0.16493313521545319</v>
      </c>
    </row>
    <row r="513" spans="1:13" x14ac:dyDescent="0.2">
      <c r="A513" s="141" t="s">
        <v>1435</v>
      </c>
      <c r="B513" s="143" t="s">
        <v>276</v>
      </c>
      <c r="C513" s="141" t="s">
        <v>68</v>
      </c>
      <c r="D513" s="143" t="s">
        <v>736</v>
      </c>
      <c r="E513" s="141" t="s">
        <v>1258</v>
      </c>
      <c r="F513" s="221" t="s">
        <v>616</v>
      </c>
      <c r="G513" s="144">
        <v>9</v>
      </c>
      <c r="H513" s="145">
        <v>27</v>
      </c>
      <c r="I513" s="146">
        <f t="shared" si="88"/>
        <v>7.7546698190835545E-4</v>
      </c>
      <c r="J513" s="146">
        <f t="shared" si="89"/>
        <v>8.1915661455313649E-4</v>
      </c>
      <c r="K513" s="146">
        <f t="shared" si="90"/>
        <v>4.0118870728083213E-2</v>
      </c>
    </row>
    <row r="514" spans="1:13" x14ac:dyDescent="0.2">
      <c r="A514" s="141" t="s">
        <v>1435</v>
      </c>
      <c r="B514" s="143" t="s">
        <v>276</v>
      </c>
      <c r="C514" s="141" t="s">
        <v>68</v>
      </c>
      <c r="D514" s="143" t="s">
        <v>736</v>
      </c>
      <c r="E514" s="141" t="s">
        <v>1259</v>
      </c>
      <c r="F514" s="221" t="s">
        <v>617</v>
      </c>
      <c r="G514" s="144">
        <v>20</v>
      </c>
      <c r="H514" s="145">
        <v>60</v>
      </c>
      <c r="I514" s="146">
        <f t="shared" si="88"/>
        <v>1.7232599597963453E-3</v>
      </c>
      <c r="J514" s="146">
        <f t="shared" si="89"/>
        <v>1.8203480323403035E-3</v>
      </c>
      <c r="K514" s="146">
        <f t="shared" si="90"/>
        <v>8.9153046062407135E-2</v>
      </c>
    </row>
    <row r="515" spans="1:13" x14ac:dyDescent="0.2">
      <c r="A515" s="141" t="s">
        <v>1435</v>
      </c>
      <c r="B515" s="143" t="s">
        <v>276</v>
      </c>
      <c r="C515" s="141" t="s">
        <v>68</v>
      </c>
      <c r="D515" s="143" t="s">
        <v>736</v>
      </c>
      <c r="E515" s="141" t="s">
        <v>1625</v>
      </c>
      <c r="F515" s="221" t="s">
        <v>1626</v>
      </c>
      <c r="G515" s="144">
        <v>19</v>
      </c>
      <c r="H515" s="145">
        <v>57</v>
      </c>
      <c r="I515" s="146">
        <f t="shared" si="88"/>
        <v>1.6370969618065281E-3</v>
      </c>
      <c r="J515" s="146">
        <f t="shared" si="89"/>
        <v>1.7293306307232881E-3</v>
      </c>
      <c r="K515" s="146">
        <f t="shared" si="90"/>
        <v>8.469539375928678E-2</v>
      </c>
    </row>
    <row r="516" spans="1:13" x14ac:dyDescent="0.2">
      <c r="A516" s="141" t="s">
        <v>1435</v>
      </c>
      <c r="B516" s="143" t="s">
        <v>276</v>
      </c>
      <c r="C516" s="141" t="s">
        <v>68</v>
      </c>
      <c r="D516" s="143" t="s">
        <v>736</v>
      </c>
      <c r="E516" s="141" t="s">
        <v>1260</v>
      </c>
      <c r="F516" s="221" t="s">
        <v>1261</v>
      </c>
      <c r="G516" s="144">
        <v>21</v>
      </c>
      <c r="H516" s="145">
        <v>63</v>
      </c>
      <c r="I516" s="146">
        <f t="shared" si="88"/>
        <v>1.8094229577861626E-3</v>
      </c>
      <c r="J516" s="146">
        <f t="shared" si="89"/>
        <v>1.9113654339573186E-3</v>
      </c>
      <c r="K516" s="146">
        <f t="shared" si="90"/>
        <v>9.3610698365527489E-2</v>
      </c>
    </row>
    <row r="517" spans="1:13" x14ac:dyDescent="0.2">
      <c r="A517" s="141" t="s">
        <v>1435</v>
      </c>
      <c r="B517" s="143" t="s">
        <v>276</v>
      </c>
      <c r="C517" s="141" t="s">
        <v>68</v>
      </c>
      <c r="D517" s="143" t="s">
        <v>736</v>
      </c>
      <c r="E517" s="141" t="s">
        <v>1262</v>
      </c>
      <c r="F517" s="221" t="s">
        <v>1263</v>
      </c>
      <c r="G517" s="144">
        <v>22</v>
      </c>
      <c r="H517" s="145">
        <v>66</v>
      </c>
      <c r="I517" s="146">
        <f t="shared" si="88"/>
        <v>1.8955859557759798E-3</v>
      </c>
      <c r="J517" s="146">
        <f t="shared" si="89"/>
        <v>2.0023828355743337E-3</v>
      </c>
      <c r="K517" s="146">
        <f t="shared" si="90"/>
        <v>9.8068350668647844E-2</v>
      </c>
    </row>
    <row r="518" spans="1:13" x14ac:dyDescent="0.2">
      <c r="A518" s="141" t="s">
        <v>1435</v>
      </c>
      <c r="B518" s="143" t="s">
        <v>276</v>
      </c>
      <c r="C518" s="141" t="s">
        <v>68</v>
      </c>
      <c r="D518" s="143" t="s">
        <v>736</v>
      </c>
      <c r="E518" s="141" t="s">
        <v>1264</v>
      </c>
      <c r="F518" s="221" t="s">
        <v>618</v>
      </c>
      <c r="G518" s="144">
        <v>17</v>
      </c>
      <c r="H518" s="145">
        <v>51</v>
      </c>
      <c r="I518" s="146">
        <f t="shared" si="88"/>
        <v>1.4647709658268935E-3</v>
      </c>
      <c r="J518" s="146">
        <f t="shared" si="89"/>
        <v>1.5472958274892579E-3</v>
      </c>
      <c r="K518" s="146">
        <f t="shared" si="90"/>
        <v>7.5780089153046057E-2</v>
      </c>
    </row>
    <row r="519" spans="1:13" x14ac:dyDescent="0.2">
      <c r="A519" s="141" t="s">
        <v>1435</v>
      </c>
      <c r="B519" s="143" t="s">
        <v>276</v>
      </c>
      <c r="C519" s="141" t="s">
        <v>68</v>
      </c>
      <c r="D519" s="143" t="s">
        <v>736</v>
      </c>
      <c r="E519" s="141" t="s">
        <v>1265</v>
      </c>
      <c r="F519" s="221" t="s">
        <v>1266</v>
      </c>
      <c r="G519" s="144">
        <v>17</v>
      </c>
      <c r="H519" s="145">
        <v>17</v>
      </c>
      <c r="I519" s="146">
        <f t="shared" si="88"/>
        <v>4.882569886089645E-4</v>
      </c>
      <c r="J519" s="146">
        <f t="shared" si="89"/>
        <v>5.1576527582975265E-4</v>
      </c>
      <c r="K519" s="146">
        <f t="shared" si="90"/>
        <v>2.5260029717682021E-2</v>
      </c>
    </row>
    <row r="520" spans="1:13" x14ac:dyDescent="0.2">
      <c r="A520" s="141" t="s">
        <v>1435</v>
      </c>
      <c r="B520" s="143" t="s">
        <v>276</v>
      </c>
      <c r="C520" s="141" t="s">
        <v>68</v>
      </c>
      <c r="D520" s="143" t="s">
        <v>736</v>
      </c>
      <c r="E520" s="141" t="s">
        <v>1267</v>
      </c>
      <c r="F520" s="221" t="s">
        <v>619</v>
      </c>
      <c r="G520" s="144">
        <v>10</v>
      </c>
      <c r="H520" s="145">
        <v>30</v>
      </c>
      <c r="I520" s="146">
        <f t="shared" si="88"/>
        <v>8.6162997989817263E-4</v>
      </c>
      <c r="J520" s="146">
        <f t="shared" si="89"/>
        <v>9.1017401617015173E-4</v>
      </c>
      <c r="K520" s="146">
        <f t="shared" si="90"/>
        <v>4.4576523031203567E-2</v>
      </c>
    </row>
    <row r="521" spans="1:13" x14ac:dyDescent="0.2">
      <c r="A521" s="141" t="s">
        <v>1435</v>
      </c>
      <c r="B521" s="143" t="s">
        <v>276</v>
      </c>
      <c r="C521" s="141" t="s">
        <v>68</v>
      </c>
      <c r="D521" s="143" t="s">
        <v>736</v>
      </c>
      <c r="E521" s="141" t="s">
        <v>1268</v>
      </c>
      <c r="F521" s="221" t="s">
        <v>1269</v>
      </c>
      <c r="G521" s="144">
        <v>10</v>
      </c>
      <c r="H521" s="145">
        <v>10</v>
      </c>
      <c r="I521" s="146">
        <f t="shared" si="88"/>
        <v>2.8720999329939089E-4</v>
      </c>
      <c r="J521" s="146">
        <f t="shared" si="89"/>
        <v>3.0339133872338389E-4</v>
      </c>
      <c r="K521" s="146">
        <f t="shared" si="90"/>
        <v>1.4858841010401188E-2</v>
      </c>
    </row>
    <row r="522" spans="1:13" x14ac:dyDescent="0.2">
      <c r="A522" s="141" t="s">
        <v>1435</v>
      </c>
      <c r="B522" s="143" t="s">
        <v>276</v>
      </c>
      <c r="C522" s="141" t="s">
        <v>68</v>
      </c>
      <c r="D522" s="143" t="s">
        <v>736</v>
      </c>
      <c r="E522" s="141" t="s">
        <v>1270</v>
      </c>
      <c r="F522" s="221" t="s">
        <v>1271</v>
      </c>
      <c r="G522" s="144">
        <v>15</v>
      </c>
      <c r="H522" s="145">
        <v>45</v>
      </c>
      <c r="I522" s="146">
        <f t="shared" si="88"/>
        <v>1.2924449698472589E-3</v>
      </c>
      <c r="J522" s="146">
        <f t="shared" si="89"/>
        <v>1.3652610242552276E-3</v>
      </c>
      <c r="K522" s="146">
        <f t="shared" si="90"/>
        <v>6.6864784546805348E-2</v>
      </c>
    </row>
    <row r="523" spans="1:13" x14ac:dyDescent="0.2">
      <c r="A523" s="141" t="s">
        <v>1435</v>
      </c>
      <c r="B523" s="143" t="s">
        <v>276</v>
      </c>
      <c r="C523" s="141" t="s">
        <v>68</v>
      </c>
      <c r="D523" s="143" t="s">
        <v>736</v>
      </c>
      <c r="E523" s="141" t="s">
        <v>1272</v>
      </c>
      <c r="F523" s="221" t="s">
        <v>1273</v>
      </c>
      <c r="G523" s="144">
        <v>3</v>
      </c>
      <c r="H523" s="145">
        <v>9</v>
      </c>
      <c r="I523" s="146">
        <f t="shared" si="88"/>
        <v>2.584889939694518E-4</v>
      </c>
      <c r="J523" s="146">
        <f t="shared" si="89"/>
        <v>2.730522048510455E-4</v>
      </c>
      <c r="K523" s="146">
        <f t="shared" si="90"/>
        <v>1.3372956909361069E-2</v>
      </c>
    </row>
    <row r="524" spans="1:13" x14ac:dyDescent="0.2">
      <c r="A524" s="141" t="s">
        <v>1435</v>
      </c>
      <c r="B524" s="143" t="s">
        <v>276</v>
      </c>
      <c r="C524" s="141" t="s">
        <v>68</v>
      </c>
      <c r="D524" s="143" t="s">
        <v>736</v>
      </c>
      <c r="E524" s="141" t="s">
        <v>1274</v>
      </c>
      <c r="F524" s="221" t="s">
        <v>620</v>
      </c>
      <c r="G524" s="144">
        <v>2</v>
      </c>
      <c r="H524" s="145">
        <v>4</v>
      </c>
      <c r="I524" s="146">
        <f t="shared" si="88"/>
        <v>1.1488399731975635E-4</v>
      </c>
      <c r="J524" s="146">
        <f t="shared" si="89"/>
        <v>1.2135653548935355E-4</v>
      </c>
      <c r="K524" s="146">
        <f t="shared" si="90"/>
        <v>5.9435364041604752E-3</v>
      </c>
    </row>
    <row r="525" spans="1:13" x14ac:dyDescent="0.2">
      <c r="A525" s="141" t="s">
        <v>1435</v>
      </c>
      <c r="B525" s="143" t="s">
        <v>276</v>
      </c>
      <c r="C525" s="141" t="s">
        <v>68</v>
      </c>
      <c r="D525" s="143" t="s">
        <v>736</v>
      </c>
      <c r="E525" s="141" t="s">
        <v>1275</v>
      </c>
      <c r="F525" s="221" t="s">
        <v>1276</v>
      </c>
      <c r="G525" s="144">
        <v>6</v>
      </c>
      <c r="H525" s="145">
        <v>12</v>
      </c>
      <c r="I525" s="146">
        <f t="shared" si="88"/>
        <v>3.4465199195926908E-4</v>
      </c>
      <c r="J525" s="146">
        <f t="shared" si="89"/>
        <v>3.6406960646806068E-4</v>
      </c>
      <c r="K525" s="146">
        <f t="shared" si="90"/>
        <v>1.7830609212481426E-2</v>
      </c>
    </row>
    <row r="526" spans="1:13" ht="24" x14ac:dyDescent="0.2">
      <c r="A526" s="141" t="s">
        <v>1435</v>
      </c>
      <c r="B526" s="143" t="s">
        <v>276</v>
      </c>
      <c r="C526" s="141" t="s">
        <v>68</v>
      </c>
      <c r="D526" s="143" t="s">
        <v>736</v>
      </c>
      <c r="E526" s="222" t="s">
        <v>1277</v>
      </c>
      <c r="F526" s="223" t="s">
        <v>1278</v>
      </c>
      <c r="G526" s="224">
        <v>20</v>
      </c>
      <c r="H526" s="225">
        <v>60</v>
      </c>
      <c r="I526" s="146">
        <f t="shared" si="88"/>
        <v>1.7232599597963453E-3</v>
      </c>
      <c r="J526" s="146">
        <f t="shared" si="89"/>
        <v>1.8203480323403035E-3</v>
      </c>
      <c r="K526" s="146">
        <f t="shared" si="90"/>
        <v>8.9153046062407135E-2</v>
      </c>
    </row>
    <row r="527" spans="1:13" x14ac:dyDescent="0.2">
      <c r="A527" s="157"/>
      <c r="B527" s="275"/>
      <c r="C527" s="157"/>
      <c r="D527" s="713" t="s">
        <v>251</v>
      </c>
      <c r="E527" s="713"/>
      <c r="F527" s="713"/>
      <c r="G527" s="163">
        <f>SUM(G511:G526)</f>
        <v>279</v>
      </c>
      <c r="H527" s="163">
        <f>SUM(H511:H526)</f>
        <v>673</v>
      </c>
      <c r="I527" s="158">
        <f t="shared" si="88"/>
        <v>1.9329232549049006E-2</v>
      </c>
      <c r="J527" s="158">
        <f t="shared" si="89"/>
        <v>2.0418237096083737E-2</v>
      </c>
      <c r="K527" s="158">
        <f t="shared" si="90"/>
        <v>1</v>
      </c>
    </row>
    <row r="528" spans="1:13" x14ac:dyDescent="0.2">
      <c r="A528" s="159"/>
      <c r="B528" s="276"/>
      <c r="C528" s="711" t="s">
        <v>248</v>
      </c>
      <c r="D528" s="711"/>
      <c r="E528" s="711"/>
      <c r="F528" s="711"/>
      <c r="G528" s="165">
        <f>G527</f>
        <v>279</v>
      </c>
      <c r="H528" s="165">
        <f>H527</f>
        <v>673</v>
      </c>
      <c r="I528" s="160">
        <f t="shared" si="88"/>
        <v>1.9329232549049006E-2</v>
      </c>
      <c r="J528" s="160">
        <f t="shared" si="89"/>
        <v>2.0418237096083737E-2</v>
      </c>
      <c r="K528" s="160">
        <f t="shared" si="90"/>
        <v>1</v>
      </c>
      <c r="M528" s="197"/>
    </row>
    <row r="529" spans="1:11" x14ac:dyDescent="0.2">
      <c r="A529" s="161"/>
      <c r="B529" s="712" t="s">
        <v>280</v>
      </c>
      <c r="C529" s="712"/>
      <c r="D529" s="712"/>
      <c r="E529" s="712"/>
      <c r="F529" s="712"/>
      <c r="G529" s="166">
        <f>G528</f>
        <v>279</v>
      </c>
      <c r="H529" s="166">
        <f>H528</f>
        <v>673</v>
      </c>
      <c r="I529" s="169">
        <f t="shared" si="88"/>
        <v>1.9329232549049006E-2</v>
      </c>
      <c r="J529" s="162"/>
      <c r="K529" s="162"/>
    </row>
    <row r="530" spans="1:11" x14ac:dyDescent="0.2">
      <c r="A530" s="141" t="s">
        <v>1435</v>
      </c>
      <c r="B530" s="143" t="s">
        <v>233</v>
      </c>
      <c r="C530" s="141" t="s">
        <v>68</v>
      </c>
      <c r="D530" s="143" t="s">
        <v>737</v>
      </c>
      <c r="E530" s="141" t="s">
        <v>1279</v>
      </c>
      <c r="F530" s="221" t="s">
        <v>1280</v>
      </c>
      <c r="G530" s="144">
        <v>34</v>
      </c>
      <c r="H530" s="145">
        <v>102</v>
      </c>
      <c r="I530" s="146">
        <f t="shared" si="88"/>
        <v>2.929541931653787E-3</v>
      </c>
      <c r="J530" s="146">
        <f t="shared" ref="J530:J549" si="91">H530/$H$634</f>
        <v>3.0945916549785157E-3</v>
      </c>
      <c r="K530" s="146">
        <f t="shared" ref="K530:K549" si="92">H530/$H$587</f>
        <v>4.5495093666369314E-2</v>
      </c>
    </row>
    <row r="531" spans="1:11" x14ac:dyDescent="0.2">
      <c r="A531" s="141" t="s">
        <v>1435</v>
      </c>
      <c r="B531" s="143" t="s">
        <v>233</v>
      </c>
      <c r="C531" s="141" t="s">
        <v>68</v>
      </c>
      <c r="D531" s="143" t="s">
        <v>737</v>
      </c>
      <c r="E531" s="141" t="s">
        <v>1281</v>
      </c>
      <c r="F531" s="221" t="s">
        <v>1282</v>
      </c>
      <c r="G531" s="144">
        <v>58</v>
      </c>
      <c r="H531" s="145">
        <v>174</v>
      </c>
      <c r="I531" s="146">
        <f t="shared" si="88"/>
        <v>4.9974538834094018E-3</v>
      </c>
      <c r="J531" s="146">
        <f t="shared" si="91"/>
        <v>5.2790092937868797E-3</v>
      </c>
      <c r="K531" s="146">
        <f t="shared" si="92"/>
        <v>7.7609277430865292E-2</v>
      </c>
    </row>
    <row r="532" spans="1:11" x14ac:dyDescent="0.2">
      <c r="A532" s="141" t="s">
        <v>1435</v>
      </c>
      <c r="B532" s="143" t="s">
        <v>233</v>
      </c>
      <c r="C532" s="141" t="s">
        <v>68</v>
      </c>
      <c r="D532" s="143" t="s">
        <v>737</v>
      </c>
      <c r="E532" s="141" t="s">
        <v>1283</v>
      </c>
      <c r="F532" s="221" t="s">
        <v>1284</v>
      </c>
      <c r="G532" s="144">
        <v>45</v>
      </c>
      <c r="H532" s="145">
        <v>135</v>
      </c>
      <c r="I532" s="146">
        <f t="shared" si="88"/>
        <v>3.877334909541777E-3</v>
      </c>
      <c r="J532" s="146">
        <f t="shared" si="91"/>
        <v>4.0957830727656828E-3</v>
      </c>
      <c r="K532" s="146">
        <f t="shared" si="92"/>
        <v>6.0214094558429972E-2</v>
      </c>
    </row>
    <row r="533" spans="1:11" x14ac:dyDescent="0.2">
      <c r="A533" s="141" t="s">
        <v>1435</v>
      </c>
      <c r="B533" s="143" t="s">
        <v>233</v>
      </c>
      <c r="C533" s="141" t="s">
        <v>68</v>
      </c>
      <c r="D533" s="143" t="s">
        <v>737</v>
      </c>
      <c r="E533" s="141" t="s">
        <v>1285</v>
      </c>
      <c r="F533" s="221" t="s">
        <v>1286</v>
      </c>
      <c r="G533" s="144">
        <v>24</v>
      </c>
      <c r="H533" s="145">
        <v>72</v>
      </c>
      <c r="I533" s="146">
        <f t="shared" si="88"/>
        <v>2.0679119517556144E-3</v>
      </c>
      <c r="J533" s="146">
        <f t="shared" si="91"/>
        <v>2.184417638808364E-3</v>
      </c>
      <c r="K533" s="146">
        <f t="shared" si="92"/>
        <v>3.2114183764495985E-2</v>
      </c>
    </row>
    <row r="534" spans="1:11" x14ac:dyDescent="0.2">
      <c r="A534" s="141" t="s">
        <v>1435</v>
      </c>
      <c r="B534" s="143" t="s">
        <v>233</v>
      </c>
      <c r="C534" s="141" t="s">
        <v>68</v>
      </c>
      <c r="D534" s="143" t="s">
        <v>737</v>
      </c>
      <c r="E534" s="141" t="s">
        <v>1287</v>
      </c>
      <c r="F534" s="221" t="s">
        <v>621</v>
      </c>
      <c r="G534" s="144">
        <v>22</v>
      </c>
      <c r="H534" s="145">
        <v>66</v>
      </c>
      <c r="I534" s="146">
        <f t="shared" si="88"/>
        <v>1.8955859557759798E-3</v>
      </c>
      <c r="J534" s="146">
        <f t="shared" si="91"/>
        <v>2.0023828355743337E-3</v>
      </c>
      <c r="K534" s="146">
        <f t="shared" si="92"/>
        <v>2.9438001784121322E-2</v>
      </c>
    </row>
    <row r="535" spans="1:11" x14ac:dyDescent="0.2">
      <c r="A535" s="141" t="s">
        <v>1435</v>
      </c>
      <c r="B535" s="143" t="s">
        <v>233</v>
      </c>
      <c r="C535" s="141" t="s">
        <v>68</v>
      </c>
      <c r="D535" s="143" t="s">
        <v>737</v>
      </c>
      <c r="E535" s="141" t="s">
        <v>1288</v>
      </c>
      <c r="F535" s="221" t="s">
        <v>1289</v>
      </c>
      <c r="G535" s="144">
        <v>8</v>
      </c>
      <c r="H535" s="145">
        <v>24</v>
      </c>
      <c r="I535" s="146">
        <f t="shared" si="88"/>
        <v>6.8930398391853817E-4</v>
      </c>
      <c r="J535" s="146">
        <f t="shared" si="91"/>
        <v>7.2813921293612136E-4</v>
      </c>
      <c r="K535" s="146">
        <f t="shared" si="92"/>
        <v>1.0704727921498661E-2</v>
      </c>
    </row>
    <row r="536" spans="1:11" x14ac:dyDescent="0.2">
      <c r="A536" s="141" t="s">
        <v>1435</v>
      </c>
      <c r="B536" s="143" t="s">
        <v>233</v>
      </c>
      <c r="C536" s="141" t="s">
        <v>68</v>
      </c>
      <c r="D536" s="143" t="s">
        <v>737</v>
      </c>
      <c r="E536" s="141" t="s">
        <v>1290</v>
      </c>
      <c r="F536" s="221" t="s">
        <v>1291</v>
      </c>
      <c r="G536" s="144">
        <v>1</v>
      </c>
      <c r="H536" s="145">
        <v>3</v>
      </c>
      <c r="I536" s="146">
        <f t="shared" si="88"/>
        <v>8.6162997989817271E-5</v>
      </c>
      <c r="J536" s="146">
        <f t="shared" si="91"/>
        <v>9.101740161701517E-5</v>
      </c>
      <c r="K536" s="146">
        <f t="shared" si="92"/>
        <v>1.3380909901873326E-3</v>
      </c>
    </row>
    <row r="537" spans="1:11" x14ac:dyDescent="0.2">
      <c r="A537" s="141" t="s">
        <v>1435</v>
      </c>
      <c r="B537" s="143" t="s">
        <v>233</v>
      </c>
      <c r="C537" s="141" t="s">
        <v>68</v>
      </c>
      <c r="D537" s="143" t="s">
        <v>737</v>
      </c>
      <c r="E537" s="141" t="s">
        <v>1292</v>
      </c>
      <c r="F537" s="221" t="s">
        <v>1293</v>
      </c>
      <c r="G537" s="144">
        <v>6</v>
      </c>
      <c r="H537" s="145">
        <v>18</v>
      </c>
      <c r="I537" s="146">
        <f t="shared" si="88"/>
        <v>5.169779879389036E-4</v>
      </c>
      <c r="J537" s="146">
        <f t="shared" si="91"/>
        <v>5.4610440970209099E-4</v>
      </c>
      <c r="K537" s="146">
        <f t="shared" si="92"/>
        <v>8.0285459411239962E-3</v>
      </c>
    </row>
    <row r="538" spans="1:11" ht="24" x14ac:dyDescent="0.2">
      <c r="A538" s="141" t="s">
        <v>1435</v>
      </c>
      <c r="B538" s="143" t="s">
        <v>233</v>
      </c>
      <c r="C538" s="141" t="s">
        <v>68</v>
      </c>
      <c r="D538" s="143" t="s">
        <v>737</v>
      </c>
      <c r="E538" s="141" t="s">
        <v>1294</v>
      </c>
      <c r="F538" s="221" t="s">
        <v>1295</v>
      </c>
      <c r="G538" s="144">
        <v>8</v>
      </c>
      <c r="H538" s="145">
        <v>24</v>
      </c>
      <c r="I538" s="146">
        <f t="shared" si="88"/>
        <v>6.8930398391853817E-4</v>
      </c>
      <c r="J538" s="146">
        <f t="shared" si="91"/>
        <v>7.2813921293612136E-4</v>
      </c>
      <c r="K538" s="146">
        <f t="shared" si="92"/>
        <v>1.0704727921498661E-2</v>
      </c>
    </row>
    <row r="539" spans="1:11" ht="24" x14ac:dyDescent="0.2">
      <c r="A539" s="141" t="s">
        <v>1435</v>
      </c>
      <c r="B539" s="143" t="s">
        <v>233</v>
      </c>
      <c r="C539" s="141" t="s">
        <v>68</v>
      </c>
      <c r="D539" s="143" t="s">
        <v>737</v>
      </c>
      <c r="E539" s="141" t="s">
        <v>1296</v>
      </c>
      <c r="F539" s="221" t="s">
        <v>1297</v>
      </c>
      <c r="G539" s="144">
        <v>13</v>
      </c>
      <c r="H539" s="145">
        <v>39</v>
      </c>
      <c r="I539" s="146">
        <f t="shared" si="88"/>
        <v>1.1201189738676244E-3</v>
      </c>
      <c r="J539" s="146">
        <f t="shared" si="91"/>
        <v>1.1832262210211971E-3</v>
      </c>
      <c r="K539" s="146">
        <f t="shared" si="92"/>
        <v>1.7395182872435324E-2</v>
      </c>
    </row>
    <row r="540" spans="1:11" x14ac:dyDescent="0.2">
      <c r="A540" s="141" t="s">
        <v>1435</v>
      </c>
      <c r="B540" s="143" t="s">
        <v>233</v>
      </c>
      <c r="C540" s="141" t="s">
        <v>68</v>
      </c>
      <c r="D540" s="143" t="s">
        <v>737</v>
      </c>
      <c r="E540" s="141" t="s">
        <v>1298</v>
      </c>
      <c r="F540" s="221" t="s">
        <v>1299</v>
      </c>
      <c r="G540" s="144">
        <v>20</v>
      </c>
      <c r="H540" s="145">
        <v>60</v>
      </c>
      <c r="I540" s="146">
        <f t="shared" si="88"/>
        <v>1.7232599597963453E-3</v>
      </c>
      <c r="J540" s="146">
        <f t="shared" si="91"/>
        <v>1.8203480323403035E-3</v>
      </c>
      <c r="K540" s="146">
        <f t="shared" si="92"/>
        <v>2.6761819803746655E-2</v>
      </c>
    </row>
    <row r="541" spans="1:11" x14ac:dyDescent="0.2">
      <c r="A541" s="141" t="s">
        <v>1435</v>
      </c>
      <c r="B541" s="143" t="s">
        <v>233</v>
      </c>
      <c r="C541" s="141" t="s">
        <v>68</v>
      </c>
      <c r="D541" s="143" t="s">
        <v>737</v>
      </c>
      <c r="E541" s="141" t="s">
        <v>1300</v>
      </c>
      <c r="F541" s="221" t="s">
        <v>1301</v>
      </c>
      <c r="G541" s="144">
        <v>24</v>
      </c>
      <c r="H541" s="145">
        <v>72</v>
      </c>
      <c r="I541" s="146">
        <f t="shared" si="88"/>
        <v>2.0679119517556144E-3</v>
      </c>
      <c r="J541" s="146">
        <f t="shared" si="91"/>
        <v>2.184417638808364E-3</v>
      </c>
      <c r="K541" s="146">
        <f t="shared" si="92"/>
        <v>3.2114183764495985E-2</v>
      </c>
    </row>
    <row r="542" spans="1:11" x14ac:dyDescent="0.2">
      <c r="A542" s="141" t="s">
        <v>1435</v>
      </c>
      <c r="B542" s="143" t="s">
        <v>233</v>
      </c>
      <c r="C542" s="141" t="s">
        <v>68</v>
      </c>
      <c r="D542" s="143" t="s">
        <v>737</v>
      </c>
      <c r="E542" s="141" t="s">
        <v>1302</v>
      </c>
      <c r="F542" s="221" t="s">
        <v>1303</v>
      </c>
      <c r="G542" s="144">
        <v>24</v>
      </c>
      <c r="H542" s="145">
        <v>72</v>
      </c>
      <c r="I542" s="146">
        <f t="shared" si="88"/>
        <v>2.0679119517556144E-3</v>
      </c>
      <c r="J542" s="146">
        <f t="shared" si="91"/>
        <v>2.184417638808364E-3</v>
      </c>
      <c r="K542" s="146">
        <f t="shared" si="92"/>
        <v>3.2114183764495985E-2</v>
      </c>
    </row>
    <row r="543" spans="1:11" ht="24" x14ac:dyDescent="0.2">
      <c r="A543" s="141" t="s">
        <v>1435</v>
      </c>
      <c r="B543" s="143" t="s">
        <v>233</v>
      </c>
      <c r="C543" s="141" t="s">
        <v>68</v>
      </c>
      <c r="D543" s="143" t="s">
        <v>737</v>
      </c>
      <c r="E543" s="141" t="s">
        <v>1627</v>
      </c>
      <c r="F543" s="221" t="s">
        <v>1628</v>
      </c>
      <c r="G543" s="144">
        <v>9</v>
      </c>
      <c r="H543" s="145">
        <v>27</v>
      </c>
      <c r="I543" s="146">
        <f t="shared" si="88"/>
        <v>7.7546698190835545E-4</v>
      </c>
      <c r="J543" s="146">
        <f t="shared" si="91"/>
        <v>8.1915661455313649E-4</v>
      </c>
      <c r="K543" s="146">
        <f t="shared" si="92"/>
        <v>1.2042818911685994E-2</v>
      </c>
    </row>
    <row r="544" spans="1:11" x14ac:dyDescent="0.2">
      <c r="A544" s="141" t="s">
        <v>1435</v>
      </c>
      <c r="B544" s="143" t="s">
        <v>233</v>
      </c>
      <c r="C544" s="141" t="s">
        <v>68</v>
      </c>
      <c r="D544" s="143" t="s">
        <v>737</v>
      </c>
      <c r="E544" s="141" t="s">
        <v>1304</v>
      </c>
      <c r="F544" s="221" t="s">
        <v>622</v>
      </c>
      <c r="G544" s="144">
        <v>20</v>
      </c>
      <c r="H544" s="145">
        <v>60</v>
      </c>
      <c r="I544" s="146">
        <f t="shared" si="88"/>
        <v>1.7232599597963453E-3</v>
      </c>
      <c r="J544" s="146">
        <f t="shared" si="91"/>
        <v>1.8203480323403035E-3</v>
      </c>
      <c r="K544" s="146">
        <f t="shared" si="92"/>
        <v>2.6761819803746655E-2</v>
      </c>
    </row>
    <row r="545" spans="1:11" ht="24" x14ac:dyDescent="0.2">
      <c r="A545" s="141" t="s">
        <v>1435</v>
      </c>
      <c r="B545" s="143" t="s">
        <v>233</v>
      </c>
      <c r="C545" s="141" t="s">
        <v>68</v>
      </c>
      <c r="D545" s="143" t="s">
        <v>737</v>
      </c>
      <c r="E545" s="141" t="s">
        <v>1305</v>
      </c>
      <c r="F545" s="221" t="s">
        <v>1306</v>
      </c>
      <c r="G545" s="144">
        <v>22</v>
      </c>
      <c r="H545" s="145">
        <v>66</v>
      </c>
      <c r="I545" s="146">
        <f t="shared" si="88"/>
        <v>1.8955859557759798E-3</v>
      </c>
      <c r="J545" s="146">
        <f t="shared" si="91"/>
        <v>2.0023828355743337E-3</v>
      </c>
      <c r="K545" s="146">
        <f t="shared" si="92"/>
        <v>2.9438001784121322E-2</v>
      </c>
    </row>
    <row r="546" spans="1:11" x14ac:dyDescent="0.2">
      <c r="A546" s="141" t="s">
        <v>1435</v>
      </c>
      <c r="B546" s="143" t="s">
        <v>233</v>
      </c>
      <c r="C546" s="141" t="s">
        <v>68</v>
      </c>
      <c r="D546" s="143" t="s">
        <v>737</v>
      </c>
      <c r="E546" s="141" t="s">
        <v>1307</v>
      </c>
      <c r="F546" s="221" t="s">
        <v>1308</v>
      </c>
      <c r="G546" s="144">
        <v>21</v>
      </c>
      <c r="H546" s="145">
        <v>63</v>
      </c>
      <c r="I546" s="146">
        <f t="shared" si="88"/>
        <v>1.8094229577861626E-3</v>
      </c>
      <c r="J546" s="146">
        <f t="shared" si="91"/>
        <v>1.9113654339573186E-3</v>
      </c>
      <c r="K546" s="146">
        <f t="shared" si="92"/>
        <v>2.8099910793933987E-2</v>
      </c>
    </row>
    <row r="547" spans="1:11" x14ac:dyDescent="0.2">
      <c r="A547" s="141" t="s">
        <v>1435</v>
      </c>
      <c r="B547" s="143" t="s">
        <v>233</v>
      </c>
      <c r="C547" s="141" t="s">
        <v>68</v>
      </c>
      <c r="D547" s="143" t="s">
        <v>737</v>
      </c>
      <c r="E547" s="141" t="s">
        <v>1309</v>
      </c>
      <c r="F547" s="221" t="s">
        <v>623</v>
      </c>
      <c r="G547" s="144">
        <v>26</v>
      </c>
      <c r="H547" s="145">
        <v>78</v>
      </c>
      <c r="I547" s="146">
        <f t="shared" si="88"/>
        <v>2.2402379477352487E-3</v>
      </c>
      <c r="J547" s="146">
        <f t="shared" si="91"/>
        <v>2.3664524420423942E-3</v>
      </c>
      <c r="K547" s="146">
        <f t="shared" si="92"/>
        <v>3.4790365744870648E-2</v>
      </c>
    </row>
    <row r="548" spans="1:11" x14ac:dyDescent="0.2">
      <c r="A548" s="141" t="s">
        <v>1435</v>
      </c>
      <c r="B548" s="143" t="s">
        <v>233</v>
      </c>
      <c r="C548" s="141" t="s">
        <v>68</v>
      </c>
      <c r="D548" s="143" t="s">
        <v>737</v>
      </c>
      <c r="E548" s="141" t="s">
        <v>1310</v>
      </c>
      <c r="F548" s="221" t="s">
        <v>1311</v>
      </c>
      <c r="G548" s="144">
        <v>14</v>
      </c>
      <c r="H548" s="145">
        <v>168</v>
      </c>
      <c r="I548" s="146">
        <f t="shared" si="88"/>
        <v>4.8251278874297671E-3</v>
      </c>
      <c r="J548" s="146">
        <f t="shared" si="91"/>
        <v>5.0969744905528499E-3</v>
      </c>
      <c r="K548" s="146">
        <f t="shared" si="92"/>
        <v>7.4933095450490636E-2</v>
      </c>
    </row>
    <row r="549" spans="1:11" x14ac:dyDescent="0.2">
      <c r="A549" s="141" t="s">
        <v>1435</v>
      </c>
      <c r="B549" s="143" t="s">
        <v>233</v>
      </c>
      <c r="C549" s="141" t="s">
        <v>68</v>
      </c>
      <c r="D549" s="143" t="s">
        <v>737</v>
      </c>
      <c r="E549" s="141" t="s">
        <v>1312</v>
      </c>
      <c r="F549" s="221" t="s">
        <v>1313</v>
      </c>
      <c r="G549" s="144">
        <v>1</v>
      </c>
      <c r="H549" s="145">
        <v>12</v>
      </c>
      <c r="I549" s="146">
        <f t="shared" si="88"/>
        <v>3.4465199195926908E-4</v>
      </c>
      <c r="J549" s="146">
        <f t="shared" si="91"/>
        <v>3.6406960646806068E-4</v>
      </c>
      <c r="K549" s="146">
        <f t="shared" si="92"/>
        <v>5.3523639607493305E-3</v>
      </c>
    </row>
    <row r="550" spans="1:11" hidden="1" x14ac:dyDescent="0.2">
      <c r="A550" s="141"/>
      <c r="B550" s="143"/>
      <c r="C550" s="141"/>
      <c r="D550" s="143"/>
      <c r="E550" s="141"/>
      <c r="F550" s="221"/>
      <c r="G550" s="144"/>
      <c r="H550" s="145"/>
      <c r="I550" s="146"/>
      <c r="J550" s="146"/>
      <c r="K550" s="146"/>
    </row>
    <row r="551" spans="1:11" hidden="1" x14ac:dyDescent="0.2">
      <c r="A551" s="141"/>
      <c r="B551" s="143"/>
      <c r="C551" s="141"/>
      <c r="D551" s="143"/>
      <c r="E551" s="141"/>
      <c r="F551" s="221"/>
      <c r="G551" s="144"/>
      <c r="H551" s="145"/>
      <c r="I551" s="146"/>
      <c r="J551" s="146"/>
      <c r="K551" s="146"/>
    </row>
    <row r="552" spans="1:11" x14ac:dyDescent="0.2">
      <c r="A552" s="157"/>
      <c r="B552" s="275"/>
      <c r="C552" s="157"/>
      <c r="D552" s="713" t="s">
        <v>257</v>
      </c>
      <c r="E552" s="713"/>
      <c r="F552" s="713"/>
      <c r="G552" s="163">
        <f>SUM(G530:G551)</f>
        <v>400</v>
      </c>
      <c r="H552" s="163">
        <f>SUM(H530:H551)</f>
        <v>1335</v>
      </c>
      <c r="I552" s="158">
        <f>H552/$H$633</f>
        <v>3.8342534105468687E-2</v>
      </c>
      <c r="J552" s="158">
        <f>H552/$H$634</f>
        <v>4.050274371957175E-2</v>
      </c>
      <c r="K552" s="158">
        <f>H552/$H$587</f>
        <v>0.59545049063336308</v>
      </c>
    </row>
    <row r="553" spans="1:11" x14ac:dyDescent="0.2">
      <c r="A553" s="141" t="s">
        <v>1435</v>
      </c>
      <c r="B553" s="143" t="s">
        <v>222</v>
      </c>
      <c r="C553" s="141" t="s">
        <v>68</v>
      </c>
      <c r="D553" s="143" t="s">
        <v>727</v>
      </c>
      <c r="E553" s="141" t="s">
        <v>1629</v>
      </c>
      <c r="F553" s="221" t="s">
        <v>1630</v>
      </c>
      <c r="G553" s="144">
        <v>2</v>
      </c>
      <c r="H553" s="145">
        <v>6</v>
      </c>
      <c r="I553" s="146">
        <f>H553/$H$633</f>
        <v>1.7232599597963454E-4</v>
      </c>
      <c r="J553" s="146">
        <f>H553/$H$634</f>
        <v>1.8203480323403034E-4</v>
      </c>
      <c r="K553" s="146">
        <f>H553/$H$587</f>
        <v>2.6761819803746653E-3</v>
      </c>
    </row>
    <row r="554" spans="1:11" ht="24" x14ac:dyDescent="0.2">
      <c r="A554" s="141" t="s">
        <v>1435</v>
      </c>
      <c r="B554" s="143" t="s">
        <v>222</v>
      </c>
      <c r="C554" s="141" t="s">
        <v>68</v>
      </c>
      <c r="D554" s="143" t="s">
        <v>727</v>
      </c>
      <c r="E554" s="141" t="s">
        <v>1631</v>
      </c>
      <c r="F554" s="221" t="s">
        <v>1632</v>
      </c>
      <c r="G554" s="144">
        <v>2</v>
      </c>
      <c r="H554" s="145">
        <v>6</v>
      </c>
      <c r="I554" s="146">
        <f>H554/$H$633</f>
        <v>1.7232599597963454E-4</v>
      </c>
      <c r="J554" s="146">
        <f>H554/$H$634</f>
        <v>1.8203480323403034E-4</v>
      </c>
      <c r="K554" s="146">
        <f>H554/$H$587</f>
        <v>2.6761819803746653E-3</v>
      </c>
    </row>
    <row r="555" spans="1:11" ht="24" x14ac:dyDescent="0.2">
      <c r="A555" s="141" t="s">
        <v>1435</v>
      </c>
      <c r="B555" s="143" t="s">
        <v>222</v>
      </c>
      <c r="C555" s="141" t="s">
        <v>68</v>
      </c>
      <c r="D555" s="143" t="s">
        <v>727</v>
      </c>
      <c r="E555" s="141" t="s">
        <v>1314</v>
      </c>
      <c r="F555" s="221" t="s">
        <v>1315</v>
      </c>
      <c r="G555" s="144">
        <v>1</v>
      </c>
      <c r="H555" s="145">
        <v>3</v>
      </c>
      <c r="I555" s="146">
        <f>H555/$H$633</f>
        <v>8.6162997989817271E-5</v>
      </c>
      <c r="J555" s="146">
        <f>H555/$H$634</f>
        <v>9.101740161701517E-5</v>
      </c>
      <c r="K555" s="146">
        <f>H555/$H$587</f>
        <v>1.3380909901873326E-3</v>
      </c>
    </row>
    <row r="556" spans="1:11" hidden="1" x14ac:dyDescent="0.2">
      <c r="A556" s="141"/>
      <c r="B556" s="143"/>
      <c r="C556" s="141"/>
      <c r="D556" s="143"/>
      <c r="E556" s="141"/>
      <c r="F556" s="221"/>
      <c r="G556" s="144"/>
      <c r="H556" s="145"/>
      <c r="I556" s="146"/>
      <c r="J556" s="146"/>
      <c r="K556" s="146"/>
    </row>
    <row r="557" spans="1:11" x14ac:dyDescent="0.2">
      <c r="A557" s="157"/>
      <c r="B557" s="275"/>
      <c r="C557" s="157"/>
      <c r="D557" s="713" t="s">
        <v>258</v>
      </c>
      <c r="E557" s="713"/>
      <c r="F557" s="713"/>
      <c r="G557" s="163">
        <f>SUM(G553:G556)</f>
        <v>5</v>
      </c>
      <c r="H557" s="163">
        <f>SUM(H553:H556)</f>
        <v>15</v>
      </c>
      <c r="I557" s="158">
        <f t="shared" ref="I557:I588" si="93">H557/$H$633</f>
        <v>4.3081498994908631E-4</v>
      </c>
      <c r="J557" s="158">
        <f>H557/$H$634</f>
        <v>4.5508700808507586E-4</v>
      </c>
      <c r="K557" s="158">
        <f>H557/$H$587</f>
        <v>6.6904549509366638E-3</v>
      </c>
    </row>
    <row r="558" spans="1:11" x14ac:dyDescent="0.2">
      <c r="A558" s="159"/>
      <c r="B558" s="276"/>
      <c r="C558" s="711" t="s">
        <v>248</v>
      </c>
      <c r="D558" s="711"/>
      <c r="E558" s="711"/>
      <c r="F558" s="711"/>
      <c r="G558" s="165">
        <f>G552+G557</f>
        <v>405</v>
      </c>
      <c r="H558" s="165">
        <f>H552+H557</f>
        <v>1350</v>
      </c>
      <c r="I558" s="160">
        <f t="shared" si="93"/>
        <v>3.877334909541777E-2</v>
      </c>
      <c r="J558" s="160">
        <f>H558/$H$634</f>
        <v>4.0957830727656824E-2</v>
      </c>
      <c r="K558" s="160">
        <f>H558/$H$587</f>
        <v>0.60214094558429976</v>
      </c>
    </row>
    <row r="559" spans="1:11" x14ac:dyDescent="0.2">
      <c r="A559" s="141" t="s">
        <v>1435</v>
      </c>
      <c r="B559" s="143" t="s">
        <v>233</v>
      </c>
      <c r="C559" s="141" t="s">
        <v>67</v>
      </c>
      <c r="D559" s="143" t="s">
        <v>737</v>
      </c>
      <c r="E559" s="141" t="s">
        <v>1316</v>
      </c>
      <c r="F559" s="221" t="s">
        <v>1317</v>
      </c>
      <c r="G559" s="144">
        <v>26</v>
      </c>
      <c r="H559" s="145">
        <v>78</v>
      </c>
      <c r="I559" s="146">
        <f t="shared" si="93"/>
        <v>2.2402379477352487E-3</v>
      </c>
      <c r="J559" s="146">
        <f t="shared" ref="J559:J586" si="94">H559/$H$635</f>
        <v>4.2003231017770599E-2</v>
      </c>
      <c r="K559" s="146">
        <f>H559/$H$587</f>
        <v>3.4790365744870648E-2</v>
      </c>
    </row>
    <row r="560" spans="1:11" x14ac:dyDescent="0.2">
      <c r="A560" s="141" t="s">
        <v>1435</v>
      </c>
      <c r="B560" s="143" t="s">
        <v>233</v>
      </c>
      <c r="C560" s="141" t="s">
        <v>67</v>
      </c>
      <c r="D560" s="143" t="s">
        <v>737</v>
      </c>
      <c r="E560" s="141" t="s">
        <v>1318</v>
      </c>
      <c r="F560" s="221" t="s">
        <v>624</v>
      </c>
      <c r="G560" s="144">
        <v>3</v>
      </c>
      <c r="H560" s="145">
        <v>9</v>
      </c>
      <c r="I560" s="146">
        <f t="shared" si="93"/>
        <v>2.584889939694518E-4</v>
      </c>
      <c r="J560" s="146">
        <f t="shared" si="94"/>
        <v>4.8465266558966073E-3</v>
      </c>
      <c r="K560" s="146">
        <f>H560/$H$587</f>
        <v>4.0142729705619981E-3</v>
      </c>
    </row>
    <row r="561" spans="1:11" x14ac:dyDescent="0.2">
      <c r="A561" s="141" t="s">
        <v>1435</v>
      </c>
      <c r="B561" s="143" t="s">
        <v>233</v>
      </c>
      <c r="C561" s="141" t="s">
        <v>67</v>
      </c>
      <c r="D561" s="143" t="s">
        <v>737</v>
      </c>
      <c r="E561" s="141" t="s">
        <v>1319</v>
      </c>
      <c r="F561" s="221" t="s">
        <v>1320</v>
      </c>
      <c r="G561" s="144">
        <v>7</v>
      </c>
      <c r="H561" s="145">
        <v>21</v>
      </c>
      <c r="I561" s="146">
        <f t="shared" si="93"/>
        <v>6.0314098592872088E-4</v>
      </c>
      <c r="J561" s="146">
        <f t="shared" si="94"/>
        <v>1.1308562197092083E-2</v>
      </c>
      <c r="K561" s="146">
        <f>H561/$H$587</f>
        <v>9.3666369313113295E-3</v>
      </c>
    </row>
    <row r="562" spans="1:11" x14ac:dyDescent="0.2">
      <c r="A562" s="141" t="s">
        <v>1435</v>
      </c>
      <c r="B562" s="143" t="s">
        <v>233</v>
      </c>
      <c r="C562" s="141" t="s">
        <v>67</v>
      </c>
      <c r="D562" s="143" t="s">
        <v>737</v>
      </c>
      <c r="E562" s="141" t="s">
        <v>1321</v>
      </c>
      <c r="F562" s="221" t="s">
        <v>1322</v>
      </c>
      <c r="G562" s="144">
        <v>6</v>
      </c>
      <c r="H562" s="145">
        <v>18</v>
      </c>
      <c r="I562" s="146">
        <f t="shared" si="93"/>
        <v>5.169779879389036E-4</v>
      </c>
      <c r="J562" s="146">
        <f t="shared" si="94"/>
        <v>9.6930533117932146E-3</v>
      </c>
      <c r="K562" s="146">
        <f t="shared" ref="K562:K586" si="95">H562/$H$587</f>
        <v>8.0285459411239962E-3</v>
      </c>
    </row>
    <row r="563" spans="1:11" x14ac:dyDescent="0.2">
      <c r="A563" s="141" t="s">
        <v>1435</v>
      </c>
      <c r="B563" s="143" t="s">
        <v>233</v>
      </c>
      <c r="C563" s="141" t="s">
        <v>67</v>
      </c>
      <c r="D563" s="143" t="s">
        <v>737</v>
      </c>
      <c r="E563" s="141" t="s">
        <v>1323</v>
      </c>
      <c r="F563" s="221" t="s">
        <v>1324</v>
      </c>
      <c r="G563" s="144">
        <v>6</v>
      </c>
      <c r="H563" s="145">
        <v>18</v>
      </c>
      <c r="I563" s="146">
        <f t="shared" si="93"/>
        <v>5.169779879389036E-4</v>
      </c>
      <c r="J563" s="146">
        <f t="shared" si="94"/>
        <v>9.6930533117932146E-3</v>
      </c>
      <c r="K563" s="146">
        <f t="shared" si="95"/>
        <v>8.0285459411239962E-3</v>
      </c>
    </row>
    <row r="564" spans="1:11" ht="24" x14ac:dyDescent="0.2">
      <c r="A564" s="141" t="s">
        <v>1435</v>
      </c>
      <c r="B564" s="143" t="s">
        <v>233</v>
      </c>
      <c r="C564" s="141" t="s">
        <v>67</v>
      </c>
      <c r="D564" s="143" t="s">
        <v>737</v>
      </c>
      <c r="E564" s="141" t="s">
        <v>1633</v>
      </c>
      <c r="F564" s="221" t="s">
        <v>1634</v>
      </c>
      <c r="G564" s="144">
        <v>8</v>
      </c>
      <c r="H564" s="145">
        <v>24</v>
      </c>
      <c r="I564" s="146">
        <f t="shared" si="93"/>
        <v>6.8930398391853817E-4</v>
      </c>
      <c r="J564" s="146">
        <f t="shared" si="94"/>
        <v>1.2924071082390954E-2</v>
      </c>
      <c r="K564" s="146">
        <f t="shared" si="95"/>
        <v>1.0704727921498661E-2</v>
      </c>
    </row>
    <row r="565" spans="1:11" x14ac:dyDescent="0.2">
      <c r="A565" s="141" t="s">
        <v>1435</v>
      </c>
      <c r="B565" s="143" t="s">
        <v>233</v>
      </c>
      <c r="C565" s="141" t="s">
        <v>67</v>
      </c>
      <c r="D565" s="143" t="s">
        <v>737</v>
      </c>
      <c r="E565" s="141" t="s">
        <v>1325</v>
      </c>
      <c r="F565" s="221" t="s">
        <v>1326</v>
      </c>
      <c r="G565" s="144">
        <v>9</v>
      </c>
      <c r="H565" s="145">
        <v>27</v>
      </c>
      <c r="I565" s="146">
        <f t="shared" si="93"/>
        <v>7.7546698190835545E-4</v>
      </c>
      <c r="J565" s="146">
        <f t="shared" si="94"/>
        <v>1.4539579967689823E-2</v>
      </c>
      <c r="K565" s="146">
        <f t="shared" si="95"/>
        <v>1.2042818911685994E-2</v>
      </c>
    </row>
    <row r="566" spans="1:11" x14ac:dyDescent="0.2">
      <c r="A566" s="141" t="s">
        <v>1435</v>
      </c>
      <c r="B566" s="143" t="s">
        <v>233</v>
      </c>
      <c r="C566" s="141" t="s">
        <v>67</v>
      </c>
      <c r="D566" s="143" t="s">
        <v>737</v>
      </c>
      <c r="E566" s="141" t="s">
        <v>1327</v>
      </c>
      <c r="F566" s="221" t="s">
        <v>1328</v>
      </c>
      <c r="G566" s="144">
        <v>11</v>
      </c>
      <c r="H566" s="145">
        <v>33</v>
      </c>
      <c r="I566" s="146">
        <f t="shared" si="93"/>
        <v>9.4779297788798991E-4</v>
      </c>
      <c r="J566" s="146">
        <f t="shared" si="94"/>
        <v>1.7770597738287562E-2</v>
      </c>
      <c r="K566" s="146">
        <f t="shared" si="95"/>
        <v>1.4719000892060661E-2</v>
      </c>
    </row>
    <row r="567" spans="1:11" x14ac:dyDescent="0.2">
      <c r="A567" s="141" t="s">
        <v>1435</v>
      </c>
      <c r="B567" s="143" t="s">
        <v>233</v>
      </c>
      <c r="C567" s="141" t="s">
        <v>67</v>
      </c>
      <c r="D567" s="143" t="s">
        <v>737</v>
      </c>
      <c r="E567" s="141" t="s">
        <v>1329</v>
      </c>
      <c r="F567" s="221" t="s">
        <v>1330</v>
      </c>
      <c r="G567" s="144">
        <v>12</v>
      </c>
      <c r="H567" s="145">
        <v>36</v>
      </c>
      <c r="I567" s="146">
        <f t="shared" si="93"/>
        <v>1.0339559758778072E-3</v>
      </c>
      <c r="J567" s="146">
        <f t="shared" si="94"/>
        <v>1.9386106623586429E-2</v>
      </c>
      <c r="K567" s="146">
        <f t="shared" si="95"/>
        <v>1.6057091882247992E-2</v>
      </c>
    </row>
    <row r="568" spans="1:11" ht="24" x14ac:dyDescent="0.2">
      <c r="A568" s="141" t="s">
        <v>1435</v>
      </c>
      <c r="B568" s="143" t="s">
        <v>233</v>
      </c>
      <c r="C568" s="141" t="s">
        <v>67</v>
      </c>
      <c r="D568" s="143" t="s">
        <v>737</v>
      </c>
      <c r="E568" s="141" t="s">
        <v>1331</v>
      </c>
      <c r="F568" s="221" t="s">
        <v>1332</v>
      </c>
      <c r="G568" s="144">
        <v>9</v>
      </c>
      <c r="H568" s="145">
        <v>27</v>
      </c>
      <c r="I568" s="146">
        <f t="shared" si="93"/>
        <v>7.7546698190835545E-4</v>
      </c>
      <c r="J568" s="146">
        <f t="shared" si="94"/>
        <v>1.4539579967689823E-2</v>
      </c>
      <c r="K568" s="146">
        <f t="shared" si="95"/>
        <v>1.2042818911685994E-2</v>
      </c>
    </row>
    <row r="569" spans="1:11" x14ac:dyDescent="0.2">
      <c r="A569" s="141" t="s">
        <v>1435</v>
      </c>
      <c r="B569" s="143" t="s">
        <v>233</v>
      </c>
      <c r="C569" s="141" t="s">
        <v>67</v>
      </c>
      <c r="D569" s="143" t="s">
        <v>737</v>
      </c>
      <c r="E569" s="141" t="s">
        <v>1333</v>
      </c>
      <c r="F569" s="221" t="s">
        <v>1334</v>
      </c>
      <c r="G569" s="144">
        <v>10</v>
      </c>
      <c r="H569" s="145">
        <v>30</v>
      </c>
      <c r="I569" s="146">
        <f t="shared" si="93"/>
        <v>8.6162997989817263E-4</v>
      </c>
      <c r="J569" s="146">
        <f t="shared" si="94"/>
        <v>1.6155088852988692E-2</v>
      </c>
      <c r="K569" s="146">
        <f t="shared" si="95"/>
        <v>1.3380909901873328E-2</v>
      </c>
    </row>
    <row r="570" spans="1:11" x14ac:dyDescent="0.2">
      <c r="A570" s="141" t="s">
        <v>1435</v>
      </c>
      <c r="B570" s="143" t="s">
        <v>233</v>
      </c>
      <c r="C570" s="141" t="s">
        <v>67</v>
      </c>
      <c r="D570" s="143" t="s">
        <v>737</v>
      </c>
      <c r="E570" s="141" t="s">
        <v>1335</v>
      </c>
      <c r="F570" s="221" t="s">
        <v>1336</v>
      </c>
      <c r="G570" s="144">
        <v>16</v>
      </c>
      <c r="H570" s="145">
        <v>48</v>
      </c>
      <c r="I570" s="146">
        <f t="shared" si="93"/>
        <v>1.3786079678370763E-3</v>
      </c>
      <c r="J570" s="146">
        <f t="shared" si="94"/>
        <v>2.5848142164781908E-2</v>
      </c>
      <c r="K570" s="146">
        <f t="shared" si="95"/>
        <v>2.1409455842997322E-2</v>
      </c>
    </row>
    <row r="571" spans="1:11" ht="24" x14ac:dyDescent="0.2">
      <c r="A571" s="141" t="s">
        <v>1435</v>
      </c>
      <c r="B571" s="143" t="s">
        <v>233</v>
      </c>
      <c r="C571" s="141" t="s">
        <v>67</v>
      </c>
      <c r="D571" s="143" t="s">
        <v>737</v>
      </c>
      <c r="E571" s="141" t="s">
        <v>1337</v>
      </c>
      <c r="F571" s="221" t="s">
        <v>1338</v>
      </c>
      <c r="G571" s="144">
        <v>16</v>
      </c>
      <c r="H571" s="145">
        <v>48</v>
      </c>
      <c r="I571" s="146">
        <f t="shared" si="93"/>
        <v>1.3786079678370763E-3</v>
      </c>
      <c r="J571" s="146">
        <f t="shared" si="94"/>
        <v>2.5848142164781908E-2</v>
      </c>
      <c r="K571" s="146">
        <f t="shared" si="95"/>
        <v>2.1409455842997322E-2</v>
      </c>
    </row>
    <row r="572" spans="1:11" ht="24" x14ac:dyDescent="0.2">
      <c r="A572" s="141" t="s">
        <v>1435</v>
      </c>
      <c r="B572" s="143" t="s">
        <v>233</v>
      </c>
      <c r="C572" s="141" t="s">
        <v>67</v>
      </c>
      <c r="D572" s="143" t="s">
        <v>737</v>
      </c>
      <c r="E572" s="141" t="s">
        <v>1339</v>
      </c>
      <c r="F572" s="221" t="s">
        <v>1340</v>
      </c>
      <c r="G572" s="144">
        <v>22</v>
      </c>
      <c r="H572" s="145">
        <v>66</v>
      </c>
      <c r="I572" s="146">
        <f t="shared" si="93"/>
        <v>1.8955859557759798E-3</v>
      </c>
      <c r="J572" s="146">
        <f t="shared" si="94"/>
        <v>3.5541195476575124E-2</v>
      </c>
      <c r="K572" s="146">
        <f t="shared" si="95"/>
        <v>2.9438001784121322E-2</v>
      </c>
    </row>
    <row r="573" spans="1:11" x14ac:dyDescent="0.2">
      <c r="A573" s="141" t="s">
        <v>1435</v>
      </c>
      <c r="B573" s="143" t="s">
        <v>233</v>
      </c>
      <c r="C573" s="141" t="s">
        <v>67</v>
      </c>
      <c r="D573" s="143" t="s">
        <v>737</v>
      </c>
      <c r="E573" s="141" t="s">
        <v>1341</v>
      </c>
      <c r="F573" s="221" t="s">
        <v>1342</v>
      </c>
      <c r="G573" s="144">
        <v>2</v>
      </c>
      <c r="H573" s="145">
        <v>6</v>
      </c>
      <c r="I573" s="146">
        <f t="shared" si="93"/>
        <v>1.7232599597963454E-4</v>
      </c>
      <c r="J573" s="146">
        <f t="shared" si="94"/>
        <v>3.2310177705977385E-3</v>
      </c>
      <c r="K573" s="146">
        <f t="shared" si="95"/>
        <v>2.6761819803746653E-3</v>
      </c>
    </row>
    <row r="574" spans="1:11" x14ac:dyDescent="0.2">
      <c r="A574" s="141" t="s">
        <v>1435</v>
      </c>
      <c r="B574" s="143" t="s">
        <v>233</v>
      </c>
      <c r="C574" s="141" t="s">
        <v>67</v>
      </c>
      <c r="D574" s="143" t="s">
        <v>737</v>
      </c>
      <c r="E574" s="141" t="s">
        <v>1343</v>
      </c>
      <c r="F574" s="221" t="s">
        <v>1344</v>
      </c>
      <c r="G574" s="144">
        <v>12</v>
      </c>
      <c r="H574" s="145">
        <v>36</v>
      </c>
      <c r="I574" s="146">
        <f t="shared" si="93"/>
        <v>1.0339559758778072E-3</v>
      </c>
      <c r="J574" s="146">
        <f t="shared" si="94"/>
        <v>1.9386106623586429E-2</v>
      </c>
      <c r="K574" s="146">
        <f t="shared" si="95"/>
        <v>1.6057091882247992E-2</v>
      </c>
    </row>
    <row r="575" spans="1:11" ht="24" x14ac:dyDescent="0.2">
      <c r="A575" s="141" t="s">
        <v>1435</v>
      </c>
      <c r="B575" s="143" t="s">
        <v>233</v>
      </c>
      <c r="C575" s="141" t="s">
        <v>67</v>
      </c>
      <c r="D575" s="143" t="s">
        <v>737</v>
      </c>
      <c r="E575" s="141" t="s">
        <v>1345</v>
      </c>
      <c r="F575" s="221" t="s">
        <v>1346</v>
      </c>
      <c r="G575" s="144">
        <v>15</v>
      </c>
      <c r="H575" s="145">
        <v>45</v>
      </c>
      <c r="I575" s="146">
        <f t="shared" si="93"/>
        <v>1.2924449698472589E-3</v>
      </c>
      <c r="J575" s="146">
        <f t="shared" si="94"/>
        <v>2.4232633279483037E-2</v>
      </c>
      <c r="K575" s="146">
        <f t="shared" si="95"/>
        <v>2.0071364852809991E-2</v>
      </c>
    </row>
    <row r="576" spans="1:11" x14ac:dyDescent="0.2">
      <c r="A576" s="141" t="s">
        <v>1435</v>
      </c>
      <c r="B576" s="143" t="s">
        <v>233</v>
      </c>
      <c r="C576" s="141" t="s">
        <v>67</v>
      </c>
      <c r="D576" s="143" t="s">
        <v>737</v>
      </c>
      <c r="E576" s="141" t="s">
        <v>1347</v>
      </c>
      <c r="F576" s="221" t="s">
        <v>1348</v>
      </c>
      <c r="G576" s="144">
        <v>7</v>
      </c>
      <c r="H576" s="145">
        <v>21</v>
      </c>
      <c r="I576" s="146">
        <f t="shared" si="93"/>
        <v>6.0314098592872088E-4</v>
      </c>
      <c r="J576" s="146">
        <f t="shared" si="94"/>
        <v>1.1308562197092083E-2</v>
      </c>
      <c r="K576" s="146">
        <f t="shared" si="95"/>
        <v>9.3666369313113295E-3</v>
      </c>
    </row>
    <row r="577" spans="1:11" x14ac:dyDescent="0.2">
      <c r="A577" s="141" t="s">
        <v>1435</v>
      </c>
      <c r="B577" s="143" t="s">
        <v>233</v>
      </c>
      <c r="C577" s="141" t="s">
        <v>67</v>
      </c>
      <c r="D577" s="143" t="s">
        <v>737</v>
      </c>
      <c r="E577" s="141" t="s">
        <v>1349</v>
      </c>
      <c r="F577" s="221" t="s">
        <v>1350</v>
      </c>
      <c r="G577" s="144">
        <v>7</v>
      </c>
      <c r="H577" s="145">
        <v>21</v>
      </c>
      <c r="I577" s="146">
        <f t="shared" si="93"/>
        <v>6.0314098592872088E-4</v>
      </c>
      <c r="J577" s="146">
        <f t="shared" si="94"/>
        <v>1.1308562197092083E-2</v>
      </c>
      <c r="K577" s="146">
        <f t="shared" si="95"/>
        <v>9.3666369313113295E-3</v>
      </c>
    </row>
    <row r="578" spans="1:11" x14ac:dyDescent="0.2">
      <c r="A578" s="141" t="s">
        <v>1435</v>
      </c>
      <c r="B578" s="143" t="s">
        <v>233</v>
      </c>
      <c r="C578" s="141" t="s">
        <v>67</v>
      </c>
      <c r="D578" s="143" t="s">
        <v>737</v>
      </c>
      <c r="E578" s="141" t="s">
        <v>1351</v>
      </c>
      <c r="F578" s="221" t="s">
        <v>559</v>
      </c>
      <c r="G578" s="144">
        <v>4</v>
      </c>
      <c r="H578" s="145">
        <v>12</v>
      </c>
      <c r="I578" s="146">
        <f t="shared" si="93"/>
        <v>3.4465199195926908E-4</v>
      </c>
      <c r="J578" s="146">
        <f t="shared" si="94"/>
        <v>6.462035541195477E-3</v>
      </c>
      <c r="K578" s="146">
        <f t="shared" si="95"/>
        <v>5.3523639607493305E-3</v>
      </c>
    </row>
    <row r="579" spans="1:11" x14ac:dyDescent="0.2">
      <c r="A579" s="141" t="s">
        <v>1435</v>
      </c>
      <c r="B579" s="143" t="s">
        <v>233</v>
      </c>
      <c r="C579" s="141" t="s">
        <v>67</v>
      </c>
      <c r="D579" s="143" t="s">
        <v>737</v>
      </c>
      <c r="E579" s="141" t="s">
        <v>1635</v>
      </c>
      <c r="F579" s="221" t="s">
        <v>1636</v>
      </c>
      <c r="G579" s="144">
        <v>8</v>
      </c>
      <c r="H579" s="145">
        <v>24</v>
      </c>
      <c r="I579" s="146">
        <f t="shared" si="93"/>
        <v>6.8930398391853817E-4</v>
      </c>
      <c r="J579" s="146">
        <f t="shared" si="94"/>
        <v>1.2924071082390954E-2</v>
      </c>
      <c r="K579" s="146">
        <f t="shared" si="95"/>
        <v>1.0704727921498661E-2</v>
      </c>
    </row>
    <row r="580" spans="1:11" x14ac:dyDescent="0.2">
      <c r="A580" s="141" t="s">
        <v>1435</v>
      </c>
      <c r="B580" s="143" t="s">
        <v>233</v>
      </c>
      <c r="C580" s="141" t="s">
        <v>67</v>
      </c>
      <c r="D580" s="143" t="s">
        <v>737</v>
      </c>
      <c r="E580" s="141" t="s">
        <v>1637</v>
      </c>
      <c r="F580" s="221" t="s">
        <v>1638</v>
      </c>
      <c r="G580" s="144">
        <v>4</v>
      </c>
      <c r="H580" s="145">
        <v>12</v>
      </c>
      <c r="I580" s="146">
        <f t="shared" si="93"/>
        <v>3.4465199195926908E-4</v>
      </c>
      <c r="J580" s="146">
        <f t="shared" si="94"/>
        <v>6.462035541195477E-3</v>
      </c>
      <c r="K580" s="146">
        <f t="shared" si="95"/>
        <v>5.3523639607493305E-3</v>
      </c>
    </row>
    <row r="581" spans="1:11" x14ac:dyDescent="0.2">
      <c r="A581" s="141" t="s">
        <v>1435</v>
      </c>
      <c r="B581" s="143" t="s">
        <v>233</v>
      </c>
      <c r="C581" s="141" t="s">
        <v>67</v>
      </c>
      <c r="D581" s="143" t="s">
        <v>737</v>
      </c>
      <c r="E581" s="141" t="s">
        <v>1352</v>
      </c>
      <c r="F581" s="221" t="s">
        <v>625</v>
      </c>
      <c r="G581" s="144">
        <v>7</v>
      </c>
      <c r="H581" s="145">
        <v>21</v>
      </c>
      <c r="I581" s="146">
        <f t="shared" si="93"/>
        <v>6.0314098592872088E-4</v>
      </c>
      <c r="J581" s="146">
        <f t="shared" si="94"/>
        <v>1.1308562197092083E-2</v>
      </c>
      <c r="K581" s="146">
        <f t="shared" si="95"/>
        <v>9.3666369313113295E-3</v>
      </c>
    </row>
    <row r="582" spans="1:11" x14ac:dyDescent="0.2">
      <c r="A582" s="141" t="s">
        <v>1435</v>
      </c>
      <c r="B582" s="143" t="s">
        <v>233</v>
      </c>
      <c r="C582" s="141" t="s">
        <v>67</v>
      </c>
      <c r="D582" s="143" t="s">
        <v>737</v>
      </c>
      <c r="E582" s="141" t="s">
        <v>1413</v>
      </c>
      <c r="F582" s="221" t="s">
        <v>626</v>
      </c>
      <c r="G582" s="144">
        <v>31</v>
      </c>
      <c r="H582" s="145">
        <v>0</v>
      </c>
      <c r="I582" s="146">
        <f t="shared" si="93"/>
        <v>0</v>
      </c>
      <c r="J582" s="146">
        <f t="shared" si="94"/>
        <v>0</v>
      </c>
      <c r="K582" s="146">
        <f t="shared" si="95"/>
        <v>0</v>
      </c>
    </row>
    <row r="583" spans="1:11" x14ac:dyDescent="0.2">
      <c r="A583" s="141" t="s">
        <v>1435</v>
      </c>
      <c r="B583" s="143" t="s">
        <v>233</v>
      </c>
      <c r="C583" s="141" t="s">
        <v>67</v>
      </c>
      <c r="D583" s="143" t="s">
        <v>737</v>
      </c>
      <c r="E583" s="141" t="s">
        <v>1353</v>
      </c>
      <c r="F583" s="221" t="s">
        <v>1354</v>
      </c>
      <c r="G583" s="144">
        <v>37</v>
      </c>
      <c r="H583" s="145">
        <v>171</v>
      </c>
      <c r="I583" s="146">
        <f t="shared" si="93"/>
        <v>4.9112908854195845E-3</v>
      </c>
      <c r="J583" s="146">
        <f t="shared" si="94"/>
        <v>9.2084006462035545E-2</v>
      </c>
      <c r="K583" s="146">
        <f t="shared" si="95"/>
        <v>7.6271186440677971E-2</v>
      </c>
    </row>
    <row r="584" spans="1:11" x14ac:dyDescent="0.2">
      <c r="A584" s="141" t="s">
        <v>1435</v>
      </c>
      <c r="B584" s="143" t="s">
        <v>233</v>
      </c>
      <c r="C584" s="141" t="s">
        <v>67</v>
      </c>
      <c r="D584" s="143" t="s">
        <v>737</v>
      </c>
      <c r="E584" s="141" t="s">
        <v>1355</v>
      </c>
      <c r="F584" s="221" t="s">
        <v>1356</v>
      </c>
      <c r="G584" s="144">
        <v>18</v>
      </c>
      <c r="H584" s="145">
        <v>40</v>
      </c>
      <c r="I584" s="146">
        <f t="shared" si="93"/>
        <v>1.1488399731975636E-3</v>
      </c>
      <c r="J584" s="146">
        <f t="shared" si="94"/>
        <v>2.1540118470651588E-2</v>
      </c>
      <c r="K584" s="146">
        <f t="shared" si="95"/>
        <v>1.784121320249777E-2</v>
      </c>
    </row>
    <row r="585" spans="1:11" x14ac:dyDescent="0.2">
      <c r="A585" s="157"/>
      <c r="B585" s="275"/>
      <c r="C585" s="157"/>
      <c r="D585" s="713" t="s">
        <v>257</v>
      </c>
      <c r="E585" s="713"/>
      <c r="F585" s="713"/>
      <c r="G585" s="163">
        <f>SUM(G559:G584)</f>
        <v>313</v>
      </c>
      <c r="H585" s="163">
        <f>SUM(H559:H584)</f>
        <v>892</v>
      </c>
      <c r="I585" s="158">
        <f t="shared" si="93"/>
        <v>2.5619131402305668E-2</v>
      </c>
      <c r="J585" s="158">
        <f t="shared" si="94"/>
        <v>0.48034464189553044</v>
      </c>
      <c r="K585" s="158">
        <f t="shared" si="95"/>
        <v>0.39785905441570024</v>
      </c>
    </row>
    <row r="586" spans="1:11" x14ac:dyDescent="0.2">
      <c r="A586" s="159"/>
      <c r="B586" s="276"/>
      <c r="C586" s="711" t="s">
        <v>250</v>
      </c>
      <c r="D586" s="711"/>
      <c r="E586" s="711"/>
      <c r="F586" s="711"/>
      <c r="G586" s="165">
        <f>G585</f>
        <v>313</v>
      </c>
      <c r="H586" s="165">
        <f>H585</f>
        <v>892</v>
      </c>
      <c r="I586" s="160">
        <f t="shared" si="93"/>
        <v>2.5619131402305668E-2</v>
      </c>
      <c r="J586" s="160">
        <f t="shared" si="94"/>
        <v>0.48034464189553044</v>
      </c>
      <c r="K586" s="160">
        <f t="shared" si="95"/>
        <v>0.39785905441570024</v>
      </c>
    </row>
    <row r="587" spans="1:11" x14ac:dyDescent="0.2">
      <c r="A587" s="161"/>
      <c r="B587" s="712" t="s">
        <v>279</v>
      </c>
      <c r="C587" s="712"/>
      <c r="D587" s="712"/>
      <c r="E587" s="712"/>
      <c r="F587" s="712"/>
      <c r="G587" s="166">
        <f>G558+G586</f>
        <v>718</v>
      </c>
      <c r="H587" s="166">
        <f>H558+H586</f>
        <v>2242</v>
      </c>
      <c r="I587" s="169">
        <f t="shared" si="93"/>
        <v>6.4392480497723434E-2</v>
      </c>
      <c r="J587" s="162"/>
      <c r="K587" s="162"/>
    </row>
    <row r="588" spans="1:11" x14ac:dyDescent="0.2">
      <c r="A588" s="141" t="s">
        <v>1435</v>
      </c>
      <c r="B588" s="143" t="s">
        <v>324</v>
      </c>
      <c r="C588" s="141" t="s">
        <v>68</v>
      </c>
      <c r="D588" s="143" t="s">
        <v>738</v>
      </c>
      <c r="E588" s="141" t="s">
        <v>1357</v>
      </c>
      <c r="F588" s="221" t="s">
        <v>627</v>
      </c>
      <c r="G588" s="144">
        <v>9</v>
      </c>
      <c r="H588" s="145">
        <v>9</v>
      </c>
      <c r="I588" s="146">
        <f t="shared" si="93"/>
        <v>2.584889939694518E-4</v>
      </c>
      <c r="J588" s="146">
        <f t="shared" ref="J588:J629" si="96">H588/$H$634</f>
        <v>2.730522048510455E-4</v>
      </c>
      <c r="K588" s="146">
        <f t="shared" ref="K588:K629" si="97">H588/$H$631</f>
        <v>3.909643788010426E-3</v>
      </c>
    </row>
    <row r="589" spans="1:11" x14ac:dyDescent="0.2">
      <c r="A589" s="141" t="s">
        <v>1435</v>
      </c>
      <c r="B589" s="143" t="s">
        <v>324</v>
      </c>
      <c r="C589" s="141" t="s">
        <v>68</v>
      </c>
      <c r="D589" s="143" t="s">
        <v>738</v>
      </c>
      <c r="E589" s="141" t="s">
        <v>1358</v>
      </c>
      <c r="F589" s="221" t="s">
        <v>628</v>
      </c>
      <c r="G589" s="144">
        <v>13</v>
      </c>
      <c r="H589" s="145">
        <v>13</v>
      </c>
      <c r="I589" s="146">
        <f t="shared" ref="I589:I620" si="98">H589/$H$633</f>
        <v>3.7337299128920818E-4</v>
      </c>
      <c r="J589" s="146">
        <f t="shared" si="96"/>
        <v>3.9440874034039908E-4</v>
      </c>
      <c r="K589" s="146">
        <f t="shared" si="97"/>
        <v>5.6472632493483931E-3</v>
      </c>
    </row>
    <row r="590" spans="1:11" x14ac:dyDescent="0.2">
      <c r="A590" s="141" t="s">
        <v>1435</v>
      </c>
      <c r="B590" s="143" t="s">
        <v>324</v>
      </c>
      <c r="C590" s="141" t="s">
        <v>68</v>
      </c>
      <c r="D590" s="143" t="s">
        <v>738</v>
      </c>
      <c r="E590" s="141" t="s">
        <v>1359</v>
      </c>
      <c r="F590" s="221" t="s">
        <v>629</v>
      </c>
      <c r="G590" s="144">
        <v>7</v>
      </c>
      <c r="H590" s="145">
        <v>7</v>
      </c>
      <c r="I590" s="146">
        <f t="shared" si="98"/>
        <v>2.0104699530957361E-4</v>
      </c>
      <c r="J590" s="146">
        <f t="shared" si="96"/>
        <v>2.1237393710636873E-4</v>
      </c>
      <c r="K590" s="146">
        <f t="shared" si="97"/>
        <v>3.0408340573414424E-3</v>
      </c>
    </row>
    <row r="591" spans="1:11" x14ac:dyDescent="0.2">
      <c r="A591" s="141" t="s">
        <v>1435</v>
      </c>
      <c r="B591" s="143" t="s">
        <v>324</v>
      </c>
      <c r="C591" s="141" t="s">
        <v>68</v>
      </c>
      <c r="D591" s="143" t="s">
        <v>738</v>
      </c>
      <c r="E591" s="141" t="s">
        <v>1360</v>
      </c>
      <c r="F591" s="221" t="s">
        <v>630</v>
      </c>
      <c r="G591" s="144">
        <v>46</v>
      </c>
      <c r="H591" s="145">
        <v>138</v>
      </c>
      <c r="I591" s="146">
        <f t="shared" si="98"/>
        <v>3.963497907531594E-3</v>
      </c>
      <c r="J591" s="146">
        <f t="shared" si="96"/>
        <v>4.1868004743826981E-3</v>
      </c>
      <c r="K591" s="146">
        <f t="shared" si="97"/>
        <v>5.9947871416159863E-2</v>
      </c>
    </row>
    <row r="592" spans="1:11" x14ac:dyDescent="0.2">
      <c r="A592" s="141" t="s">
        <v>1435</v>
      </c>
      <c r="B592" s="143" t="s">
        <v>324</v>
      </c>
      <c r="C592" s="141" t="s">
        <v>68</v>
      </c>
      <c r="D592" s="143" t="s">
        <v>738</v>
      </c>
      <c r="E592" s="141" t="s">
        <v>1361</v>
      </c>
      <c r="F592" s="221" t="s">
        <v>1362</v>
      </c>
      <c r="G592" s="144">
        <v>25</v>
      </c>
      <c r="H592" s="145">
        <v>75</v>
      </c>
      <c r="I592" s="146">
        <f t="shared" si="98"/>
        <v>2.1540749497454318E-3</v>
      </c>
      <c r="J592" s="146">
        <f t="shared" si="96"/>
        <v>2.2754350404253793E-3</v>
      </c>
      <c r="K592" s="146">
        <f t="shared" si="97"/>
        <v>3.2580364900086881E-2</v>
      </c>
    </row>
    <row r="593" spans="1:11" x14ac:dyDescent="0.2">
      <c r="A593" s="141" t="s">
        <v>1435</v>
      </c>
      <c r="B593" s="143" t="s">
        <v>324</v>
      </c>
      <c r="C593" s="141" t="s">
        <v>68</v>
      </c>
      <c r="D593" s="143" t="s">
        <v>738</v>
      </c>
      <c r="E593" s="141" t="s">
        <v>1363</v>
      </c>
      <c r="F593" s="221" t="s">
        <v>1364</v>
      </c>
      <c r="G593" s="144">
        <v>20</v>
      </c>
      <c r="H593" s="145">
        <v>60</v>
      </c>
      <c r="I593" s="146">
        <f t="shared" si="98"/>
        <v>1.7232599597963453E-3</v>
      </c>
      <c r="J593" s="146">
        <f t="shared" si="96"/>
        <v>1.8203480323403035E-3</v>
      </c>
      <c r="K593" s="146">
        <f t="shared" si="97"/>
        <v>2.6064291920069503E-2</v>
      </c>
    </row>
    <row r="594" spans="1:11" x14ac:dyDescent="0.2">
      <c r="A594" s="141" t="s">
        <v>1435</v>
      </c>
      <c r="B594" s="143" t="s">
        <v>324</v>
      </c>
      <c r="C594" s="141" t="s">
        <v>68</v>
      </c>
      <c r="D594" s="143" t="s">
        <v>738</v>
      </c>
      <c r="E594" s="141" t="s">
        <v>1365</v>
      </c>
      <c r="F594" s="221" t="s">
        <v>1366</v>
      </c>
      <c r="G594" s="144">
        <v>19</v>
      </c>
      <c r="H594" s="145">
        <v>57</v>
      </c>
      <c r="I594" s="146">
        <f t="shared" si="98"/>
        <v>1.6370969618065281E-3</v>
      </c>
      <c r="J594" s="146">
        <f t="shared" si="96"/>
        <v>1.7293306307232881E-3</v>
      </c>
      <c r="K594" s="146">
        <f t="shared" si="97"/>
        <v>2.476107732406603E-2</v>
      </c>
    </row>
    <row r="595" spans="1:11" x14ac:dyDescent="0.2">
      <c r="A595" s="141" t="s">
        <v>1435</v>
      </c>
      <c r="B595" s="143" t="s">
        <v>324</v>
      </c>
      <c r="C595" s="141" t="s">
        <v>68</v>
      </c>
      <c r="D595" s="143" t="s">
        <v>738</v>
      </c>
      <c r="E595" s="141" t="s">
        <v>1367</v>
      </c>
      <c r="F595" s="221" t="s">
        <v>631</v>
      </c>
      <c r="G595" s="144">
        <v>15</v>
      </c>
      <c r="H595" s="145">
        <v>45</v>
      </c>
      <c r="I595" s="146">
        <f t="shared" si="98"/>
        <v>1.2924449698472589E-3</v>
      </c>
      <c r="J595" s="146">
        <f t="shared" si="96"/>
        <v>1.3652610242552276E-3</v>
      </c>
      <c r="K595" s="146">
        <f t="shared" si="97"/>
        <v>1.9548218940052129E-2</v>
      </c>
    </row>
    <row r="596" spans="1:11" ht="24" x14ac:dyDescent="0.2">
      <c r="A596" s="141" t="s">
        <v>1435</v>
      </c>
      <c r="B596" s="143" t="s">
        <v>324</v>
      </c>
      <c r="C596" s="141" t="s">
        <v>68</v>
      </c>
      <c r="D596" s="143" t="s">
        <v>738</v>
      </c>
      <c r="E596" s="141" t="s">
        <v>1368</v>
      </c>
      <c r="F596" s="221" t="s">
        <v>1369</v>
      </c>
      <c r="G596" s="144">
        <v>26</v>
      </c>
      <c r="H596" s="145">
        <v>78</v>
      </c>
      <c r="I596" s="146">
        <f t="shared" si="98"/>
        <v>2.2402379477352487E-3</v>
      </c>
      <c r="J596" s="146">
        <f t="shared" si="96"/>
        <v>2.3664524420423942E-3</v>
      </c>
      <c r="K596" s="146">
        <f t="shared" si="97"/>
        <v>3.3883579496090353E-2</v>
      </c>
    </row>
    <row r="597" spans="1:11" x14ac:dyDescent="0.2">
      <c r="A597" s="141" t="s">
        <v>1435</v>
      </c>
      <c r="B597" s="143" t="s">
        <v>324</v>
      </c>
      <c r="C597" s="141" t="s">
        <v>68</v>
      </c>
      <c r="D597" s="143" t="s">
        <v>738</v>
      </c>
      <c r="E597" s="141" t="s">
        <v>1370</v>
      </c>
      <c r="F597" s="221" t="s">
        <v>1371</v>
      </c>
      <c r="G597" s="144">
        <v>17</v>
      </c>
      <c r="H597" s="145">
        <v>51</v>
      </c>
      <c r="I597" s="146">
        <f t="shared" si="98"/>
        <v>1.4647709658268935E-3</v>
      </c>
      <c r="J597" s="146">
        <f t="shared" si="96"/>
        <v>1.5472958274892579E-3</v>
      </c>
      <c r="K597" s="146">
        <f t="shared" si="97"/>
        <v>2.2154648132059078E-2</v>
      </c>
    </row>
    <row r="598" spans="1:11" x14ac:dyDescent="0.2">
      <c r="A598" s="141" t="s">
        <v>1435</v>
      </c>
      <c r="B598" s="143" t="s">
        <v>324</v>
      </c>
      <c r="C598" s="141" t="s">
        <v>68</v>
      </c>
      <c r="D598" s="143" t="s">
        <v>738</v>
      </c>
      <c r="E598" s="141" t="s">
        <v>1372</v>
      </c>
      <c r="F598" s="221" t="s">
        <v>632</v>
      </c>
      <c r="G598" s="144">
        <v>6</v>
      </c>
      <c r="H598" s="145">
        <v>36</v>
      </c>
      <c r="I598" s="146">
        <f t="shared" si="98"/>
        <v>1.0339559758778072E-3</v>
      </c>
      <c r="J598" s="146">
        <f t="shared" si="96"/>
        <v>1.092208819404182E-3</v>
      </c>
      <c r="K598" s="146">
        <f t="shared" si="97"/>
        <v>1.5638575152041704E-2</v>
      </c>
    </row>
    <row r="599" spans="1:11" x14ac:dyDescent="0.2">
      <c r="A599" s="157"/>
      <c r="B599" s="275"/>
      <c r="C599" s="157"/>
      <c r="D599" s="713" t="s">
        <v>254</v>
      </c>
      <c r="E599" s="713"/>
      <c r="F599" s="713"/>
      <c r="G599" s="163">
        <f>SUM(G588:G598)</f>
        <v>203</v>
      </c>
      <c r="H599" s="163">
        <f>SUM(H588:H598)</f>
        <v>569</v>
      </c>
      <c r="I599" s="158">
        <f t="shared" si="98"/>
        <v>1.6342248618735341E-2</v>
      </c>
      <c r="J599" s="158">
        <f t="shared" si="96"/>
        <v>1.7262967173360545E-2</v>
      </c>
      <c r="K599" s="158">
        <f t="shared" si="97"/>
        <v>0.24717636837532581</v>
      </c>
    </row>
    <row r="600" spans="1:11" x14ac:dyDescent="0.2">
      <c r="A600" s="141" t="s">
        <v>1435</v>
      </c>
      <c r="B600" s="143" t="s">
        <v>324</v>
      </c>
      <c r="C600" s="141" t="s">
        <v>68</v>
      </c>
      <c r="D600" s="143" t="s">
        <v>739</v>
      </c>
      <c r="E600" s="141" t="s">
        <v>1373</v>
      </c>
      <c r="F600" s="221" t="s">
        <v>633</v>
      </c>
      <c r="G600" s="144">
        <v>25</v>
      </c>
      <c r="H600" s="145">
        <v>50</v>
      </c>
      <c r="I600" s="146">
        <f t="shared" si="98"/>
        <v>1.4360499664969545E-3</v>
      </c>
      <c r="J600" s="146">
        <f t="shared" si="96"/>
        <v>1.5169566936169194E-3</v>
      </c>
      <c r="K600" s="146">
        <f t="shared" si="97"/>
        <v>2.1720243266724587E-2</v>
      </c>
    </row>
    <row r="601" spans="1:11" ht="24" x14ac:dyDescent="0.2">
      <c r="A601" s="141" t="s">
        <v>1435</v>
      </c>
      <c r="B601" s="143" t="s">
        <v>324</v>
      </c>
      <c r="C601" s="141" t="s">
        <v>68</v>
      </c>
      <c r="D601" s="143" t="s">
        <v>739</v>
      </c>
      <c r="E601" s="141" t="s">
        <v>1374</v>
      </c>
      <c r="F601" s="221" t="s">
        <v>1375</v>
      </c>
      <c r="G601" s="144">
        <v>42</v>
      </c>
      <c r="H601" s="145">
        <v>126</v>
      </c>
      <c r="I601" s="146">
        <f t="shared" si="98"/>
        <v>3.6188459155723253E-3</v>
      </c>
      <c r="J601" s="146">
        <f t="shared" si="96"/>
        <v>3.8227308679146372E-3</v>
      </c>
      <c r="K601" s="146">
        <f t="shared" si="97"/>
        <v>5.4735013032145959E-2</v>
      </c>
    </row>
    <row r="602" spans="1:11" ht="24" x14ac:dyDescent="0.2">
      <c r="A602" s="141" t="s">
        <v>1435</v>
      </c>
      <c r="B602" s="143" t="s">
        <v>324</v>
      </c>
      <c r="C602" s="141" t="s">
        <v>68</v>
      </c>
      <c r="D602" s="143" t="s">
        <v>739</v>
      </c>
      <c r="E602" s="141" t="s">
        <v>1376</v>
      </c>
      <c r="F602" s="221" t="s">
        <v>1377</v>
      </c>
      <c r="G602" s="144">
        <v>13</v>
      </c>
      <c r="H602" s="145">
        <v>39</v>
      </c>
      <c r="I602" s="146">
        <f t="shared" si="98"/>
        <v>1.1201189738676244E-3</v>
      </c>
      <c r="J602" s="146">
        <f t="shared" si="96"/>
        <v>1.1832262210211971E-3</v>
      </c>
      <c r="K602" s="146">
        <f t="shared" si="97"/>
        <v>1.6941789748045177E-2</v>
      </c>
    </row>
    <row r="603" spans="1:11" x14ac:dyDescent="0.2">
      <c r="A603" s="141" t="s">
        <v>1435</v>
      </c>
      <c r="B603" s="143" t="s">
        <v>324</v>
      </c>
      <c r="C603" s="141" t="s">
        <v>68</v>
      </c>
      <c r="D603" s="143" t="s">
        <v>739</v>
      </c>
      <c r="E603" s="141" t="s">
        <v>1378</v>
      </c>
      <c r="F603" s="221" t="s">
        <v>1379</v>
      </c>
      <c r="G603" s="144">
        <v>41</v>
      </c>
      <c r="H603" s="145">
        <v>41</v>
      </c>
      <c r="I603" s="146">
        <f t="shared" si="98"/>
        <v>1.1775609725275026E-3</v>
      </c>
      <c r="J603" s="146">
        <f t="shared" si="96"/>
        <v>1.243904488765874E-3</v>
      </c>
      <c r="K603" s="146">
        <f t="shared" si="97"/>
        <v>1.7810599478714162E-2</v>
      </c>
    </row>
    <row r="604" spans="1:11" x14ac:dyDescent="0.2">
      <c r="A604" s="141" t="s">
        <v>1435</v>
      </c>
      <c r="B604" s="143" t="s">
        <v>324</v>
      </c>
      <c r="C604" s="141" t="s">
        <v>68</v>
      </c>
      <c r="D604" s="143" t="s">
        <v>739</v>
      </c>
      <c r="E604" s="141" t="s">
        <v>1380</v>
      </c>
      <c r="F604" s="221" t="s">
        <v>1381</v>
      </c>
      <c r="G604" s="144">
        <v>35</v>
      </c>
      <c r="H604" s="145">
        <v>210</v>
      </c>
      <c r="I604" s="146">
        <f t="shared" si="98"/>
        <v>6.0314098592872088E-3</v>
      </c>
      <c r="J604" s="146">
        <f t="shared" si="96"/>
        <v>6.3712181131910621E-3</v>
      </c>
      <c r="K604" s="146">
        <f t="shared" si="97"/>
        <v>9.1225021720243271E-2</v>
      </c>
    </row>
    <row r="605" spans="1:11" x14ac:dyDescent="0.2">
      <c r="A605" s="141" t="s">
        <v>1435</v>
      </c>
      <c r="B605" s="143" t="s">
        <v>324</v>
      </c>
      <c r="C605" s="141" t="s">
        <v>68</v>
      </c>
      <c r="D605" s="143" t="s">
        <v>739</v>
      </c>
      <c r="E605" s="141" t="s">
        <v>1382</v>
      </c>
      <c r="F605" s="221" t="s">
        <v>1383</v>
      </c>
      <c r="G605" s="144">
        <v>34</v>
      </c>
      <c r="H605" s="145">
        <v>136</v>
      </c>
      <c r="I605" s="146">
        <f t="shared" si="98"/>
        <v>3.906055908871716E-3</v>
      </c>
      <c r="J605" s="146">
        <f t="shared" si="96"/>
        <v>4.1261222066380212E-3</v>
      </c>
      <c r="K605" s="146">
        <f t="shared" si="97"/>
        <v>5.9079061685490875E-2</v>
      </c>
    </row>
    <row r="606" spans="1:11" x14ac:dyDescent="0.2">
      <c r="A606" s="141" t="s">
        <v>1435</v>
      </c>
      <c r="B606" s="143" t="s">
        <v>324</v>
      </c>
      <c r="C606" s="141" t="s">
        <v>68</v>
      </c>
      <c r="D606" s="143" t="s">
        <v>739</v>
      </c>
      <c r="E606" s="141" t="s">
        <v>1384</v>
      </c>
      <c r="F606" s="221" t="s">
        <v>1385</v>
      </c>
      <c r="G606" s="144">
        <v>35</v>
      </c>
      <c r="H606" s="145">
        <v>105</v>
      </c>
      <c r="I606" s="146">
        <f t="shared" si="98"/>
        <v>3.0157049296436044E-3</v>
      </c>
      <c r="J606" s="146">
        <f t="shared" si="96"/>
        <v>3.185609056595531E-3</v>
      </c>
      <c r="K606" s="146">
        <f t="shared" si="97"/>
        <v>4.5612510860121636E-2</v>
      </c>
    </row>
    <row r="607" spans="1:11" x14ac:dyDescent="0.2">
      <c r="A607" s="141" t="s">
        <v>1435</v>
      </c>
      <c r="B607" s="143" t="s">
        <v>324</v>
      </c>
      <c r="C607" s="141" t="s">
        <v>68</v>
      </c>
      <c r="D607" s="143" t="s">
        <v>739</v>
      </c>
      <c r="E607" s="141" t="s">
        <v>1386</v>
      </c>
      <c r="F607" s="221" t="s">
        <v>549</v>
      </c>
      <c r="G607" s="144">
        <v>7</v>
      </c>
      <c r="H607" s="145">
        <v>21</v>
      </c>
      <c r="I607" s="146">
        <f t="shared" si="98"/>
        <v>6.0314098592872088E-4</v>
      </c>
      <c r="J607" s="146">
        <f t="shared" si="96"/>
        <v>6.3712181131910623E-4</v>
      </c>
      <c r="K607" s="146">
        <f t="shared" si="97"/>
        <v>9.1225021720243264E-3</v>
      </c>
    </row>
    <row r="608" spans="1:11" x14ac:dyDescent="0.2">
      <c r="A608" s="141" t="s">
        <v>1435</v>
      </c>
      <c r="B608" s="143" t="s">
        <v>324</v>
      </c>
      <c r="C608" s="141" t="s">
        <v>68</v>
      </c>
      <c r="D608" s="143" t="s">
        <v>739</v>
      </c>
      <c r="E608" s="141" t="s">
        <v>1387</v>
      </c>
      <c r="F608" s="221" t="s">
        <v>1388</v>
      </c>
      <c r="G608" s="144">
        <v>17</v>
      </c>
      <c r="H608" s="145">
        <v>51</v>
      </c>
      <c r="I608" s="146">
        <f t="shared" si="98"/>
        <v>1.4647709658268935E-3</v>
      </c>
      <c r="J608" s="146">
        <f t="shared" si="96"/>
        <v>1.5472958274892579E-3</v>
      </c>
      <c r="K608" s="146">
        <f t="shared" si="97"/>
        <v>2.2154648132059078E-2</v>
      </c>
    </row>
    <row r="609" spans="1:11" x14ac:dyDescent="0.2">
      <c r="A609" s="141" t="s">
        <v>1435</v>
      </c>
      <c r="B609" s="143" t="s">
        <v>324</v>
      </c>
      <c r="C609" s="141" t="s">
        <v>68</v>
      </c>
      <c r="D609" s="143" t="s">
        <v>739</v>
      </c>
      <c r="E609" s="141" t="s">
        <v>1389</v>
      </c>
      <c r="F609" s="221" t="s">
        <v>1390</v>
      </c>
      <c r="G609" s="144">
        <v>17</v>
      </c>
      <c r="H609" s="145">
        <v>51</v>
      </c>
      <c r="I609" s="146">
        <f t="shared" si="98"/>
        <v>1.4647709658268935E-3</v>
      </c>
      <c r="J609" s="146">
        <f t="shared" si="96"/>
        <v>1.5472958274892579E-3</v>
      </c>
      <c r="K609" s="146">
        <f t="shared" si="97"/>
        <v>2.2154648132059078E-2</v>
      </c>
    </row>
    <row r="610" spans="1:11" x14ac:dyDescent="0.2">
      <c r="A610" s="141" t="s">
        <v>1435</v>
      </c>
      <c r="B610" s="143" t="s">
        <v>324</v>
      </c>
      <c r="C610" s="141" t="s">
        <v>68</v>
      </c>
      <c r="D610" s="143" t="s">
        <v>739</v>
      </c>
      <c r="E610" s="141" t="s">
        <v>1391</v>
      </c>
      <c r="F610" s="221" t="s">
        <v>1392</v>
      </c>
      <c r="G610" s="144">
        <v>17</v>
      </c>
      <c r="H610" s="145">
        <v>34</v>
      </c>
      <c r="I610" s="146">
        <f t="shared" si="98"/>
        <v>9.7651397721792901E-4</v>
      </c>
      <c r="J610" s="146">
        <f t="shared" si="96"/>
        <v>1.0315305516595053E-3</v>
      </c>
      <c r="K610" s="146">
        <f t="shared" si="97"/>
        <v>1.4769765421372719E-2</v>
      </c>
    </row>
    <row r="611" spans="1:11" x14ac:dyDescent="0.2">
      <c r="A611" s="141" t="s">
        <v>1435</v>
      </c>
      <c r="B611" s="143" t="s">
        <v>324</v>
      </c>
      <c r="C611" s="141" t="s">
        <v>68</v>
      </c>
      <c r="D611" s="143" t="s">
        <v>739</v>
      </c>
      <c r="E611" s="141" t="s">
        <v>1393</v>
      </c>
      <c r="F611" s="293" t="s">
        <v>1394</v>
      </c>
      <c r="G611" s="144">
        <v>17</v>
      </c>
      <c r="H611" s="145">
        <v>51</v>
      </c>
      <c r="I611" s="146">
        <f t="shared" si="98"/>
        <v>1.4647709658268935E-3</v>
      </c>
      <c r="J611" s="146">
        <f t="shared" si="96"/>
        <v>1.5472958274892579E-3</v>
      </c>
      <c r="K611" s="146">
        <f t="shared" si="97"/>
        <v>2.2154648132059078E-2</v>
      </c>
    </row>
    <row r="612" spans="1:11" ht="24" x14ac:dyDescent="0.2">
      <c r="A612" s="295" t="s">
        <v>1435</v>
      </c>
      <c r="B612" s="294" t="s">
        <v>324</v>
      </c>
      <c r="C612" s="295" t="s">
        <v>68</v>
      </c>
      <c r="D612" s="294" t="s">
        <v>739</v>
      </c>
      <c r="E612" s="295" t="s">
        <v>1395</v>
      </c>
      <c r="F612" s="296" t="s">
        <v>1369</v>
      </c>
      <c r="G612" s="297">
        <v>17</v>
      </c>
      <c r="H612" s="298">
        <v>51</v>
      </c>
      <c r="I612" s="299">
        <f t="shared" si="98"/>
        <v>1.4647709658268935E-3</v>
      </c>
      <c r="J612" s="299">
        <f t="shared" si="96"/>
        <v>1.5472958274892579E-3</v>
      </c>
      <c r="K612" s="299">
        <f t="shared" si="97"/>
        <v>2.2154648132059078E-2</v>
      </c>
    </row>
    <row r="613" spans="1:11" x14ac:dyDescent="0.2">
      <c r="A613" s="542"/>
      <c r="B613" s="543"/>
      <c r="C613" s="542"/>
      <c r="D613" s="714" t="s">
        <v>255</v>
      </c>
      <c r="E613" s="714"/>
      <c r="F613" s="714"/>
      <c r="G613" s="544">
        <f>SUM(G600:G612)</f>
        <v>317</v>
      </c>
      <c r="H613" s="544">
        <f>SUM(H600:H612)</f>
        <v>966</v>
      </c>
      <c r="I613" s="545">
        <f t="shared" si="98"/>
        <v>2.7744485352721161E-2</v>
      </c>
      <c r="J613" s="545">
        <f t="shared" si="96"/>
        <v>2.9307603320678884E-2</v>
      </c>
      <c r="K613" s="545">
        <f t="shared" si="97"/>
        <v>0.41963509991311904</v>
      </c>
    </row>
    <row r="614" spans="1:11" ht="24" x14ac:dyDescent="0.2">
      <c r="A614" s="334" t="s">
        <v>1435</v>
      </c>
      <c r="B614" s="326" t="s">
        <v>324</v>
      </c>
      <c r="C614" s="334" t="s">
        <v>68</v>
      </c>
      <c r="D614" s="326" t="s">
        <v>740</v>
      </c>
      <c r="E614" s="334" t="s">
        <v>1396</v>
      </c>
      <c r="F614" s="335" t="s">
        <v>1397</v>
      </c>
      <c r="G614" s="336">
        <v>17</v>
      </c>
      <c r="H614" s="337">
        <v>51</v>
      </c>
      <c r="I614" s="170">
        <f t="shared" si="98"/>
        <v>1.4647709658268935E-3</v>
      </c>
      <c r="J614" s="170">
        <f t="shared" si="96"/>
        <v>1.5472958274892579E-3</v>
      </c>
      <c r="K614" s="170">
        <f t="shared" si="97"/>
        <v>2.2154648132059078E-2</v>
      </c>
    </row>
    <row r="615" spans="1:11" ht="24" x14ac:dyDescent="0.2">
      <c r="A615" s="141" t="s">
        <v>1435</v>
      </c>
      <c r="B615" s="143" t="s">
        <v>324</v>
      </c>
      <c r="C615" s="141" t="s">
        <v>68</v>
      </c>
      <c r="D615" s="143" t="s">
        <v>740</v>
      </c>
      <c r="E615" s="141" t="s">
        <v>1398</v>
      </c>
      <c r="F615" s="221" t="s">
        <v>1399</v>
      </c>
      <c r="G615" s="144">
        <v>37</v>
      </c>
      <c r="H615" s="145">
        <v>111</v>
      </c>
      <c r="I615" s="146">
        <f t="shared" si="98"/>
        <v>3.1880309256232388E-3</v>
      </c>
      <c r="J615" s="146">
        <f t="shared" si="96"/>
        <v>3.3676438598295613E-3</v>
      </c>
      <c r="K615" s="146">
        <f t="shared" si="97"/>
        <v>4.8218940052128581E-2</v>
      </c>
    </row>
    <row r="616" spans="1:11" ht="24" x14ac:dyDescent="0.2">
      <c r="A616" s="141" t="s">
        <v>1435</v>
      </c>
      <c r="B616" s="143" t="s">
        <v>324</v>
      </c>
      <c r="C616" s="141" t="s">
        <v>68</v>
      </c>
      <c r="D616" s="143" t="s">
        <v>740</v>
      </c>
      <c r="E616" s="141" t="s">
        <v>1400</v>
      </c>
      <c r="F616" s="221" t="s">
        <v>1639</v>
      </c>
      <c r="G616" s="144">
        <v>20</v>
      </c>
      <c r="H616" s="145">
        <v>60</v>
      </c>
      <c r="I616" s="146">
        <f t="shared" si="98"/>
        <v>1.7232599597963453E-3</v>
      </c>
      <c r="J616" s="146">
        <f t="shared" si="96"/>
        <v>1.8203480323403035E-3</v>
      </c>
      <c r="K616" s="146">
        <f t="shared" si="97"/>
        <v>2.6064291920069503E-2</v>
      </c>
    </row>
    <row r="617" spans="1:11" ht="36" x14ac:dyDescent="0.2">
      <c r="A617" s="141" t="s">
        <v>1435</v>
      </c>
      <c r="B617" s="143" t="s">
        <v>324</v>
      </c>
      <c r="C617" s="141" t="s">
        <v>68</v>
      </c>
      <c r="D617" s="143" t="s">
        <v>740</v>
      </c>
      <c r="E617" s="141" t="s">
        <v>1401</v>
      </c>
      <c r="F617" s="221" t="s">
        <v>1640</v>
      </c>
      <c r="G617" s="144">
        <v>23</v>
      </c>
      <c r="H617" s="145">
        <v>69</v>
      </c>
      <c r="I617" s="146">
        <f t="shared" si="98"/>
        <v>1.981748953765797E-3</v>
      </c>
      <c r="J617" s="146">
        <f t="shared" si="96"/>
        <v>2.0934002371913491E-3</v>
      </c>
      <c r="K617" s="146">
        <f t="shared" si="97"/>
        <v>2.9973935708079932E-2</v>
      </c>
    </row>
    <row r="618" spans="1:11" x14ac:dyDescent="0.2">
      <c r="A618" s="141" t="s">
        <v>1435</v>
      </c>
      <c r="B618" s="143" t="s">
        <v>324</v>
      </c>
      <c r="C618" s="141" t="s">
        <v>68</v>
      </c>
      <c r="D618" s="143" t="s">
        <v>740</v>
      </c>
      <c r="E618" s="141" t="s">
        <v>1402</v>
      </c>
      <c r="F618" s="221" t="s">
        <v>634</v>
      </c>
      <c r="G618" s="144">
        <v>8</v>
      </c>
      <c r="H618" s="145">
        <v>24</v>
      </c>
      <c r="I618" s="146">
        <f t="shared" si="98"/>
        <v>6.8930398391853817E-4</v>
      </c>
      <c r="J618" s="146">
        <f t="shared" si="96"/>
        <v>7.2813921293612136E-4</v>
      </c>
      <c r="K618" s="146">
        <f t="shared" si="97"/>
        <v>1.0425716768027803E-2</v>
      </c>
    </row>
    <row r="619" spans="1:11" x14ac:dyDescent="0.2">
      <c r="A619" s="141" t="s">
        <v>1435</v>
      </c>
      <c r="B619" s="143" t="s">
        <v>324</v>
      </c>
      <c r="C619" s="141" t="s">
        <v>68</v>
      </c>
      <c r="D619" s="143" t="s">
        <v>740</v>
      </c>
      <c r="E619" s="141" t="s">
        <v>1403</v>
      </c>
      <c r="F619" s="221" t="s">
        <v>1404</v>
      </c>
      <c r="G619" s="144">
        <v>20</v>
      </c>
      <c r="H619" s="145">
        <v>60</v>
      </c>
      <c r="I619" s="146">
        <f t="shared" si="98"/>
        <v>1.7232599597963453E-3</v>
      </c>
      <c r="J619" s="146">
        <f t="shared" si="96"/>
        <v>1.8203480323403035E-3</v>
      </c>
      <c r="K619" s="146">
        <f t="shared" si="97"/>
        <v>2.6064291920069503E-2</v>
      </c>
    </row>
    <row r="620" spans="1:11" x14ac:dyDescent="0.2">
      <c r="A620" s="141" t="s">
        <v>1435</v>
      </c>
      <c r="B620" s="143" t="s">
        <v>324</v>
      </c>
      <c r="C620" s="141" t="s">
        <v>68</v>
      </c>
      <c r="D620" s="143" t="s">
        <v>740</v>
      </c>
      <c r="E620" s="141" t="s">
        <v>1405</v>
      </c>
      <c r="F620" s="293" t="s">
        <v>1406</v>
      </c>
      <c r="G620" s="144">
        <v>21</v>
      </c>
      <c r="H620" s="145">
        <v>63</v>
      </c>
      <c r="I620" s="146">
        <f t="shared" si="98"/>
        <v>1.8094229577861626E-3</v>
      </c>
      <c r="J620" s="146">
        <f t="shared" si="96"/>
        <v>1.9113654339573186E-3</v>
      </c>
      <c r="K620" s="146">
        <f t="shared" si="97"/>
        <v>2.7367506516072979E-2</v>
      </c>
    </row>
    <row r="621" spans="1:11" x14ac:dyDescent="0.2">
      <c r="A621" s="141" t="s">
        <v>1435</v>
      </c>
      <c r="B621" s="143" t="s">
        <v>324</v>
      </c>
      <c r="C621" s="141" t="s">
        <v>68</v>
      </c>
      <c r="D621" s="143" t="s">
        <v>740</v>
      </c>
      <c r="E621" s="141" t="s">
        <v>1407</v>
      </c>
      <c r="F621" s="221" t="s">
        <v>635</v>
      </c>
      <c r="G621" s="144">
        <v>27</v>
      </c>
      <c r="H621" s="145">
        <v>81</v>
      </c>
      <c r="I621" s="146">
        <f t="shared" ref="I621:I631" si="99">H621/$H$633</f>
        <v>2.3264009457250661E-3</v>
      </c>
      <c r="J621" s="146">
        <f t="shared" si="96"/>
        <v>2.4574698436594096E-3</v>
      </c>
      <c r="K621" s="146">
        <f t="shared" si="97"/>
        <v>3.5186794092093833E-2</v>
      </c>
    </row>
    <row r="622" spans="1:11" x14ac:dyDescent="0.2">
      <c r="A622" s="141" t="s">
        <v>1435</v>
      </c>
      <c r="B622" s="143" t="s">
        <v>324</v>
      </c>
      <c r="C622" s="141" t="s">
        <v>68</v>
      </c>
      <c r="D622" s="143" t="s">
        <v>740</v>
      </c>
      <c r="E622" s="141" t="s">
        <v>1408</v>
      </c>
      <c r="F622" s="221" t="s">
        <v>1409</v>
      </c>
      <c r="G622" s="144">
        <v>26</v>
      </c>
      <c r="H622" s="145">
        <v>78</v>
      </c>
      <c r="I622" s="146">
        <f t="shared" si="99"/>
        <v>2.2402379477352487E-3</v>
      </c>
      <c r="J622" s="146">
        <f t="shared" si="96"/>
        <v>2.3664524420423942E-3</v>
      </c>
      <c r="K622" s="146">
        <f t="shared" si="97"/>
        <v>3.3883579496090353E-2</v>
      </c>
    </row>
    <row r="623" spans="1:11" ht="24" x14ac:dyDescent="0.2">
      <c r="A623" s="141" t="s">
        <v>1435</v>
      </c>
      <c r="B623" s="143" t="s">
        <v>324</v>
      </c>
      <c r="C623" s="141" t="s">
        <v>68</v>
      </c>
      <c r="D623" s="143" t="s">
        <v>740</v>
      </c>
      <c r="E623" s="141" t="s">
        <v>1410</v>
      </c>
      <c r="F623" s="221" t="s">
        <v>1411</v>
      </c>
      <c r="G623" s="144">
        <v>25</v>
      </c>
      <c r="H623" s="145">
        <v>75</v>
      </c>
      <c r="I623" s="146">
        <f t="shared" si="99"/>
        <v>2.1540749497454318E-3</v>
      </c>
      <c r="J623" s="146">
        <f t="shared" si="96"/>
        <v>2.2754350404253793E-3</v>
      </c>
      <c r="K623" s="146">
        <f t="shared" si="97"/>
        <v>3.2580364900086881E-2</v>
      </c>
    </row>
    <row r="624" spans="1:11" x14ac:dyDescent="0.2">
      <c r="A624" s="141" t="s">
        <v>1435</v>
      </c>
      <c r="B624" s="143" t="s">
        <v>324</v>
      </c>
      <c r="C624" s="141" t="s">
        <v>68</v>
      </c>
      <c r="D624" s="143" t="s">
        <v>740</v>
      </c>
      <c r="E624" s="141" t="s">
        <v>1412</v>
      </c>
      <c r="F624" s="221" t="s">
        <v>636</v>
      </c>
      <c r="G624" s="144">
        <v>22</v>
      </c>
      <c r="H624" s="145">
        <v>88</v>
      </c>
      <c r="I624" s="146">
        <f t="shared" si="99"/>
        <v>2.5274479410346399E-3</v>
      </c>
      <c r="J624" s="146">
        <f t="shared" si="96"/>
        <v>2.6698437807657783E-3</v>
      </c>
      <c r="K624" s="146">
        <f t="shared" si="97"/>
        <v>3.8227628149435276E-2</v>
      </c>
    </row>
    <row r="625" spans="1:11" x14ac:dyDescent="0.2">
      <c r="A625" s="141" t="s">
        <v>1435</v>
      </c>
      <c r="B625" s="143" t="s">
        <v>324</v>
      </c>
      <c r="C625" s="141" t="s">
        <v>68</v>
      </c>
      <c r="D625" s="143" t="s">
        <v>740</v>
      </c>
      <c r="E625" s="141" t="s">
        <v>1641</v>
      </c>
      <c r="F625" s="221" t="s">
        <v>636</v>
      </c>
      <c r="G625" s="144">
        <v>1</v>
      </c>
      <c r="H625" s="145">
        <v>4</v>
      </c>
      <c r="I625" s="146">
        <f t="shared" si="99"/>
        <v>1.1488399731975635E-4</v>
      </c>
      <c r="J625" s="146">
        <f t="shared" si="96"/>
        <v>1.2135653548935355E-4</v>
      </c>
      <c r="K625" s="146">
        <f t="shared" si="97"/>
        <v>1.7376194613379669E-3</v>
      </c>
    </row>
    <row r="626" spans="1:11" x14ac:dyDescent="0.2">
      <c r="A626" s="157"/>
      <c r="B626" s="275"/>
      <c r="C626" s="157"/>
      <c r="D626" s="724" t="s">
        <v>256</v>
      </c>
      <c r="E626" s="724"/>
      <c r="F626" s="724"/>
      <c r="G626" s="163">
        <f>SUM(G614:G625)</f>
        <v>247</v>
      </c>
      <c r="H626" s="163">
        <f>SUM(H614:H625)</f>
        <v>764</v>
      </c>
      <c r="I626" s="158">
        <f t="shared" si="99"/>
        <v>2.1942843488073464E-2</v>
      </c>
      <c r="J626" s="158">
        <f t="shared" si="96"/>
        <v>2.317909827846653E-2</v>
      </c>
      <c r="K626" s="158">
        <f t="shared" si="97"/>
        <v>0.33188531711555169</v>
      </c>
    </row>
    <row r="627" spans="1:11" x14ac:dyDescent="0.2">
      <c r="A627" s="159"/>
      <c r="B627" s="276"/>
      <c r="C627" s="711" t="s">
        <v>248</v>
      </c>
      <c r="D627" s="711"/>
      <c r="E627" s="711"/>
      <c r="F627" s="711"/>
      <c r="G627" s="165">
        <f>G599+G613+G626</f>
        <v>767</v>
      </c>
      <c r="H627" s="165">
        <f>H599+H613+H626</f>
        <v>2299</v>
      </c>
      <c r="I627" s="160">
        <f t="shared" si="99"/>
        <v>6.6029577459529962E-2</v>
      </c>
      <c r="J627" s="160">
        <f t="shared" si="96"/>
        <v>6.9749668772505963E-2</v>
      </c>
      <c r="K627" s="160">
        <f t="shared" si="97"/>
        <v>0.99869678540399653</v>
      </c>
    </row>
    <row r="628" spans="1:11" x14ac:dyDescent="0.2">
      <c r="A628" s="141" t="s">
        <v>1435</v>
      </c>
      <c r="B628" s="143" t="s">
        <v>324</v>
      </c>
      <c r="C628" s="141" t="s">
        <v>67</v>
      </c>
      <c r="D628" s="143" t="s">
        <v>738</v>
      </c>
      <c r="E628" s="141" t="s">
        <v>1642</v>
      </c>
      <c r="F628" s="221" t="s">
        <v>631</v>
      </c>
      <c r="G628" s="144">
        <v>1</v>
      </c>
      <c r="H628" s="145">
        <v>3</v>
      </c>
      <c r="I628" s="146">
        <f t="shared" si="99"/>
        <v>8.6162997989817271E-5</v>
      </c>
      <c r="J628" s="146">
        <f t="shared" si="96"/>
        <v>9.101740161701517E-5</v>
      </c>
      <c r="K628" s="146">
        <f t="shared" si="97"/>
        <v>1.3032145960034753E-3</v>
      </c>
    </row>
    <row r="629" spans="1:11" x14ac:dyDescent="0.2">
      <c r="A629" s="157"/>
      <c r="B629" s="275"/>
      <c r="C629" s="157"/>
      <c r="D629" s="724" t="s">
        <v>254</v>
      </c>
      <c r="E629" s="724"/>
      <c r="F629" s="724"/>
      <c r="G629" s="163">
        <f>G628</f>
        <v>1</v>
      </c>
      <c r="H629" s="163">
        <f>H628</f>
        <v>3</v>
      </c>
      <c r="I629" s="158">
        <f t="shared" si="99"/>
        <v>8.6162997989817271E-5</v>
      </c>
      <c r="J629" s="158">
        <f t="shared" si="96"/>
        <v>9.101740161701517E-5</v>
      </c>
      <c r="K629" s="158">
        <f t="shared" si="97"/>
        <v>1.3032145960034753E-3</v>
      </c>
    </row>
    <row r="630" spans="1:11" x14ac:dyDescent="0.2">
      <c r="A630" s="159"/>
      <c r="B630" s="276"/>
      <c r="C630" s="711" t="s">
        <v>250</v>
      </c>
      <c r="D630" s="711"/>
      <c r="E630" s="711"/>
      <c r="F630" s="711"/>
      <c r="G630" s="165">
        <f>G629</f>
        <v>1</v>
      </c>
      <c r="H630" s="165">
        <f>H629</f>
        <v>3</v>
      </c>
      <c r="I630" s="160">
        <f t="shared" si="99"/>
        <v>8.6162997989817271E-5</v>
      </c>
      <c r="J630" s="160">
        <f>H630/$H$635</f>
        <v>1.6155088852988692E-3</v>
      </c>
      <c r="K630" s="160">
        <f t="shared" ref="K630" si="100">H630/$H$587</f>
        <v>1.3380909901873326E-3</v>
      </c>
    </row>
    <row r="631" spans="1:11" x14ac:dyDescent="0.2">
      <c r="A631" s="161"/>
      <c r="B631" s="712" t="s">
        <v>333</v>
      </c>
      <c r="C631" s="712"/>
      <c r="D631" s="712"/>
      <c r="E631" s="712"/>
      <c r="F631" s="712"/>
      <c r="G631" s="166">
        <f>G627+G630</f>
        <v>768</v>
      </c>
      <c r="H631" s="166">
        <f>H627+H630</f>
        <v>2302</v>
      </c>
      <c r="I631" s="169">
        <f t="shared" si="99"/>
        <v>6.6115740457519778E-2</v>
      </c>
      <c r="J631" s="162"/>
      <c r="K631" s="162"/>
    </row>
    <row r="632" spans="1:11" x14ac:dyDescent="0.2">
      <c r="D632" s="17"/>
      <c r="E632" s="17"/>
      <c r="F632" s="17"/>
      <c r="G632" s="17"/>
      <c r="H632" s="17"/>
    </row>
    <row r="633" spans="1:11" x14ac:dyDescent="0.2">
      <c r="A633" s="722" t="s">
        <v>111</v>
      </c>
      <c r="B633" s="723"/>
      <c r="C633" s="723"/>
      <c r="D633" s="723"/>
      <c r="E633" s="723"/>
      <c r="F633" s="723"/>
      <c r="G633" s="347">
        <f>G634+G635</f>
        <v>12167</v>
      </c>
      <c r="H633" s="347">
        <f>H634+H635</f>
        <v>34817.729999999996</v>
      </c>
      <c r="I633" s="151"/>
      <c r="J633" s="151"/>
      <c r="K633" s="152"/>
    </row>
    <row r="634" spans="1:11" x14ac:dyDescent="0.2">
      <c r="A634" s="720" t="s">
        <v>241</v>
      </c>
      <c r="B634" s="721"/>
      <c r="C634" s="721"/>
      <c r="D634" s="721"/>
      <c r="E634" s="721"/>
      <c r="F634" s="721"/>
      <c r="G634" s="348">
        <f>G211+G357+G389+G489+G528+G627+G558</f>
        <v>11501</v>
      </c>
      <c r="H634" s="348">
        <f>H211+H357+H389+H489+H528+H627+H558</f>
        <v>32960.729999999996</v>
      </c>
      <c r="I634" s="167">
        <f>H634/H633</f>
        <v>0.94666510424430306</v>
      </c>
      <c r="J634" s="168"/>
      <c r="K634" s="153"/>
    </row>
    <row r="635" spans="1:11" x14ac:dyDescent="0.2">
      <c r="A635" s="718" t="s">
        <v>242</v>
      </c>
      <c r="B635" s="719"/>
      <c r="C635" s="719"/>
      <c r="D635" s="719"/>
      <c r="E635" s="719"/>
      <c r="F635" s="719"/>
      <c r="G635" s="349">
        <f>G246+G383+G509+G586</f>
        <v>666</v>
      </c>
      <c r="H635" s="349">
        <f>H246+H383+H509+H586+H630</f>
        <v>1857</v>
      </c>
      <c r="I635" s="155">
        <f>H635/H633</f>
        <v>5.3334895755696887E-2</v>
      </c>
      <c r="J635" s="154"/>
      <c r="K635" s="156"/>
    </row>
  </sheetData>
  <mergeCells count="89">
    <mergeCell ref="D17:F17"/>
    <mergeCell ref="A6:K6"/>
    <mergeCell ref="G7:G8"/>
    <mergeCell ref="H7:H8"/>
    <mergeCell ref="I7:K7"/>
    <mergeCell ref="A7:A8"/>
    <mergeCell ref="B7:B8"/>
    <mergeCell ref="C7:C8"/>
    <mergeCell ref="D7:D8"/>
    <mergeCell ref="E7:E8"/>
    <mergeCell ref="F7:F8"/>
    <mergeCell ref="D140:F140"/>
    <mergeCell ref="D188:F188"/>
    <mergeCell ref="D210:F210"/>
    <mergeCell ref="D122:F122"/>
    <mergeCell ref="D119:F119"/>
    <mergeCell ref="D131:F131"/>
    <mergeCell ref="D125:F125"/>
    <mergeCell ref="D199:F199"/>
    <mergeCell ref="D206:F206"/>
    <mergeCell ref="D155:F155"/>
    <mergeCell ref="B529:F529"/>
    <mergeCell ref="D527:F527"/>
    <mergeCell ref="C528:F528"/>
    <mergeCell ref="C509:F509"/>
    <mergeCell ref="B510:F510"/>
    <mergeCell ref="A635:F635"/>
    <mergeCell ref="A634:F634"/>
    <mergeCell ref="A633:F633"/>
    <mergeCell ref="D552:F552"/>
    <mergeCell ref="D585:F585"/>
    <mergeCell ref="C586:F586"/>
    <mergeCell ref="B587:F587"/>
    <mergeCell ref="C558:F558"/>
    <mergeCell ref="B631:F631"/>
    <mergeCell ref="D557:F557"/>
    <mergeCell ref="D626:F626"/>
    <mergeCell ref="C627:F627"/>
    <mergeCell ref="D599:F599"/>
    <mergeCell ref="D613:F613"/>
    <mergeCell ref="D629:F629"/>
    <mergeCell ref="C630:F630"/>
    <mergeCell ref="D362:F362"/>
    <mergeCell ref="C357:F357"/>
    <mergeCell ref="D342:F342"/>
    <mergeCell ref="D351:F351"/>
    <mergeCell ref="D373:F373"/>
    <mergeCell ref="D270:F270"/>
    <mergeCell ref="D356:F356"/>
    <mergeCell ref="D353:F353"/>
    <mergeCell ref="D306:F306"/>
    <mergeCell ref="D319:F319"/>
    <mergeCell ref="D292:F292"/>
    <mergeCell ref="C246:F246"/>
    <mergeCell ref="B247:F247"/>
    <mergeCell ref="D163:F163"/>
    <mergeCell ref="D175:F175"/>
    <mergeCell ref="D223:F223"/>
    <mergeCell ref="D245:F245"/>
    <mergeCell ref="D215:F215"/>
    <mergeCell ref="D221:F221"/>
    <mergeCell ref="D228:F228"/>
    <mergeCell ref="D236:F236"/>
    <mergeCell ref="D100:F100"/>
    <mergeCell ref="D128:F128"/>
    <mergeCell ref="D113:F113"/>
    <mergeCell ref="D41:F41"/>
    <mergeCell ref="D58:F58"/>
    <mergeCell ref="D111:F111"/>
    <mergeCell ref="D108:F108"/>
    <mergeCell ref="D60:F60"/>
    <mergeCell ref="D77:F77"/>
    <mergeCell ref="D98:F98"/>
    <mergeCell ref="D75:F75"/>
    <mergeCell ref="D83:F83"/>
    <mergeCell ref="D96:F96"/>
    <mergeCell ref="D382:F382"/>
    <mergeCell ref="C383:F383"/>
    <mergeCell ref="B384:F384"/>
    <mergeCell ref="D508:F508"/>
    <mergeCell ref="B390:F390"/>
    <mergeCell ref="D495:F495"/>
    <mergeCell ref="D388:F388"/>
    <mergeCell ref="C389:F389"/>
    <mergeCell ref="D447:F447"/>
    <mergeCell ref="D450:F450"/>
    <mergeCell ref="D466:F466"/>
    <mergeCell ref="D488:F488"/>
    <mergeCell ref="C489:F489"/>
  </mergeCells>
  <phoneticPr fontId="62" type="noConversion"/>
  <hyperlinks>
    <hyperlink ref="I1" location="'Table of Contents'!A1" display="Back to Table Of Contents" xr:uid="{00000000-0004-0000-0A00-000000000000}"/>
  </hyperlinks>
  <pageMargins left="0.5" right="0.5" top="0.5" bottom="0.5" header="0.5" footer="0.25"/>
  <pageSetup scale="85" orientation="landscape" r:id="rId1"/>
  <headerFooter alignWithMargins="0">
    <oddHeader>&amp;ROctober 2022</oddHeader>
    <oddFooter>&amp;CPage &amp;P of &amp;N&amp;R&amp;8&amp;F</oddFooter>
  </headerFooter>
  <rowBreaks count="10" manualBreakCount="10">
    <brk id="41" max="16383" man="1"/>
    <brk id="77" max="16383" man="1"/>
    <brk id="108" max="16383" man="1"/>
    <brk id="147" max="16383" man="1"/>
    <brk id="188" max="16383" man="1"/>
    <brk id="228" max="16383" man="1"/>
    <brk id="267" max="16383" man="1"/>
    <brk id="306" max="16383" man="1"/>
    <brk id="342" max="16383" man="1"/>
    <brk id="384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tabColor theme="6"/>
  </sheetPr>
  <dimension ref="A1:P49"/>
  <sheetViews>
    <sheetView zoomScale="96" zoomScaleNormal="96" zoomScalePageLayoutView="70" workbookViewId="0">
      <selection activeCell="A41" sqref="A41:D41"/>
    </sheetView>
  </sheetViews>
  <sheetFormatPr defaultColWidth="9.140625" defaultRowHeight="12.75" x14ac:dyDescent="0.2"/>
  <cols>
    <col min="1" max="1" width="5.5703125" style="498" customWidth="1"/>
    <col min="2" max="2" width="8.140625" style="498" customWidth="1"/>
    <col min="3" max="3" width="5.7109375" style="498" customWidth="1"/>
    <col min="4" max="4" width="22.28515625" style="498" customWidth="1"/>
    <col min="5" max="5" width="5.42578125" style="498" customWidth="1"/>
    <col min="6" max="6" width="4.28515625" style="498" customWidth="1"/>
    <col min="7" max="7" width="4.140625" style="498" customWidth="1"/>
    <col min="8" max="8" width="10.5703125" style="498" customWidth="1"/>
    <col min="9" max="10" width="4.7109375" style="498" customWidth="1"/>
    <col min="11" max="12" width="6.42578125" style="498" customWidth="1"/>
    <col min="13" max="13" width="7" style="498" customWidth="1"/>
    <col min="14" max="14" width="6.7109375" style="498" customWidth="1"/>
    <col min="15" max="15" width="4.7109375" style="498" customWidth="1"/>
    <col min="16" max="16384" width="9.140625" style="498"/>
  </cols>
  <sheetData>
    <row r="1" spans="1:16" s="29" customFormat="1" ht="18.75" x14ac:dyDescent="0.3">
      <c r="C1" s="491"/>
      <c r="J1" s="132" t="s">
        <v>98</v>
      </c>
    </row>
    <row r="2" spans="1:16" s="29" customFormat="1" ht="15.75" x14ac:dyDescent="0.25">
      <c r="C2" s="492"/>
    </row>
    <row r="3" spans="1:16" s="29" customFormat="1" x14ac:dyDescent="0.2">
      <c r="C3" s="493"/>
    </row>
    <row r="4" spans="1:16" s="29" customFormat="1" ht="23.45" customHeight="1" x14ac:dyDescent="0.2">
      <c r="C4" s="493"/>
    </row>
    <row r="5" spans="1:16" s="29" customFormat="1" ht="18.75" customHeight="1" x14ac:dyDescent="0.2">
      <c r="A5" s="732" t="s">
        <v>1429</v>
      </c>
      <c r="B5" s="732"/>
      <c r="C5" s="732"/>
      <c r="D5" s="732"/>
      <c r="E5" s="732"/>
      <c r="F5" s="732"/>
      <c r="G5" s="732"/>
      <c r="H5" s="732"/>
      <c r="I5" s="732"/>
      <c r="J5" s="732"/>
      <c r="K5" s="732"/>
      <c r="L5" s="732"/>
      <c r="M5" s="732"/>
      <c r="N5" s="732"/>
    </row>
    <row r="6" spans="1:16" s="494" customFormat="1" ht="19.7" customHeight="1" x14ac:dyDescent="0.2">
      <c r="A6" s="734" t="s">
        <v>128</v>
      </c>
      <c r="B6" s="736" t="s">
        <v>240</v>
      </c>
      <c r="C6" s="736" t="s">
        <v>269</v>
      </c>
      <c r="D6" s="734" t="s">
        <v>268</v>
      </c>
      <c r="E6" s="734" t="s">
        <v>87</v>
      </c>
      <c r="F6" s="735" t="s">
        <v>71</v>
      </c>
      <c r="G6" s="735"/>
      <c r="H6" s="733" t="s">
        <v>267</v>
      </c>
      <c r="I6" s="733" t="s">
        <v>86</v>
      </c>
      <c r="J6" s="733"/>
      <c r="K6" s="733" t="s">
        <v>266</v>
      </c>
      <c r="L6" s="733"/>
      <c r="M6" s="733"/>
      <c r="N6" s="733"/>
      <c r="O6" s="29"/>
      <c r="P6" s="29"/>
    </row>
    <row r="7" spans="1:16" s="494" customFormat="1" ht="33.6" customHeight="1" x14ac:dyDescent="0.2">
      <c r="A7" s="734"/>
      <c r="B7" s="736"/>
      <c r="C7" s="736"/>
      <c r="D7" s="734"/>
      <c r="E7" s="734"/>
      <c r="F7" s="495" t="s">
        <v>265</v>
      </c>
      <c r="G7" s="495" t="s">
        <v>264</v>
      </c>
      <c r="H7" s="733"/>
      <c r="I7" s="496" t="s">
        <v>168</v>
      </c>
      <c r="J7" s="496" t="s">
        <v>167</v>
      </c>
      <c r="K7" s="496" t="s">
        <v>263</v>
      </c>
      <c r="L7" s="496" t="s">
        <v>262</v>
      </c>
      <c r="M7" s="496" t="s">
        <v>261</v>
      </c>
      <c r="N7" s="496" t="s">
        <v>260</v>
      </c>
      <c r="O7" s="29"/>
      <c r="P7" s="29"/>
    </row>
    <row r="8" spans="1:16" x14ac:dyDescent="0.2">
      <c r="A8" s="450" t="s">
        <v>1435</v>
      </c>
      <c r="B8" s="218" t="s">
        <v>218</v>
      </c>
      <c r="C8" s="450" t="s">
        <v>68</v>
      </c>
      <c r="D8" s="450" t="s">
        <v>328</v>
      </c>
      <c r="E8" s="451">
        <f>F8+G8</f>
        <v>1</v>
      </c>
      <c r="F8" s="451">
        <v>1</v>
      </c>
      <c r="G8" s="451">
        <v>0</v>
      </c>
      <c r="H8" s="497">
        <f t="shared" ref="H8:H18" si="0">E8/$E$48</f>
        <v>9.433962264150943E-3</v>
      </c>
      <c r="I8" s="451">
        <v>1</v>
      </c>
      <c r="J8" s="451">
        <v>0</v>
      </c>
      <c r="K8" s="451">
        <v>0</v>
      </c>
      <c r="L8" s="451">
        <v>1</v>
      </c>
      <c r="M8" s="451">
        <v>0</v>
      </c>
      <c r="N8" s="451">
        <v>0</v>
      </c>
      <c r="O8" s="29"/>
      <c r="P8" s="29"/>
    </row>
    <row r="9" spans="1:16" x14ac:dyDescent="0.2">
      <c r="A9" s="450" t="s">
        <v>1435</v>
      </c>
      <c r="B9" s="218" t="s">
        <v>218</v>
      </c>
      <c r="C9" s="450" t="s">
        <v>68</v>
      </c>
      <c r="D9" s="450" t="s">
        <v>359</v>
      </c>
      <c r="E9" s="451">
        <f t="shared" ref="E9:E24" si="1">F9+G9</f>
        <v>2</v>
      </c>
      <c r="F9" s="451">
        <v>1</v>
      </c>
      <c r="G9" s="451">
        <v>1</v>
      </c>
      <c r="H9" s="497">
        <f t="shared" si="0"/>
        <v>1.8867924528301886E-2</v>
      </c>
      <c r="I9" s="451">
        <v>2</v>
      </c>
      <c r="J9" s="451">
        <v>0</v>
      </c>
      <c r="K9" s="451">
        <v>0</v>
      </c>
      <c r="L9" s="451">
        <v>1</v>
      </c>
      <c r="M9" s="451">
        <v>0</v>
      </c>
      <c r="N9" s="451">
        <v>1</v>
      </c>
    </row>
    <row r="10" spans="1:16" x14ac:dyDescent="0.2">
      <c r="A10" s="450" t="s">
        <v>1435</v>
      </c>
      <c r="B10" s="218" t="s">
        <v>218</v>
      </c>
      <c r="C10" s="450" t="s">
        <v>68</v>
      </c>
      <c r="D10" s="450" t="s">
        <v>360</v>
      </c>
      <c r="E10" s="451">
        <f t="shared" si="1"/>
        <v>3</v>
      </c>
      <c r="F10" s="451">
        <v>2</v>
      </c>
      <c r="G10" s="451">
        <v>1</v>
      </c>
      <c r="H10" s="497">
        <f t="shared" si="0"/>
        <v>2.8301886792452831E-2</v>
      </c>
      <c r="I10" s="451">
        <v>3</v>
      </c>
      <c r="J10" s="451">
        <v>0</v>
      </c>
      <c r="K10" s="451">
        <v>0</v>
      </c>
      <c r="L10" s="451">
        <v>0</v>
      </c>
      <c r="M10" s="451">
        <v>1</v>
      </c>
      <c r="N10" s="451">
        <v>2</v>
      </c>
    </row>
    <row r="11" spans="1:16" x14ac:dyDescent="0.2">
      <c r="A11" s="450" t="s">
        <v>1435</v>
      </c>
      <c r="B11" s="218" t="s">
        <v>218</v>
      </c>
      <c r="C11" s="450" t="s">
        <v>68</v>
      </c>
      <c r="D11" s="450" t="s">
        <v>371</v>
      </c>
      <c r="E11" s="451">
        <f t="shared" si="1"/>
        <v>17</v>
      </c>
      <c r="F11" s="451">
        <v>10</v>
      </c>
      <c r="G11" s="451">
        <v>7</v>
      </c>
      <c r="H11" s="497">
        <f t="shared" si="0"/>
        <v>0.16037735849056603</v>
      </c>
      <c r="I11" s="451">
        <v>13</v>
      </c>
      <c r="J11" s="451">
        <v>4</v>
      </c>
      <c r="K11" s="451">
        <v>0</v>
      </c>
      <c r="L11" s="451">
        <v>2</v>
      </c>
      <c r="M11" s="451">
        <v>5</v>
      </c>
      <c r="N11" s="451">
        <v>10</v>
      </c>
    </row>
    <row r="12" spans="1:16" x14ac:dyDescent="0.2">
      <c r="A12" s="450" t="s">
        <v>1435</v>
      </c>
      <c r="B12" s="218" t="s">
        <v>218</v>
      </c>
      <c r="C12" s="450" t="s">
        <v>68</v>
      </c>
      <c r="D12" s="450" t="s">
        <v>362</v>
      </c>
      <c r="E12" s="451">
        <f t="shared" si="1"/>
        <v>13</v>
      </c>
      <c r="F12" s="451">
        <v>8</v>
      </c>
      <c r="G12" s="451">
        <v>5</v>
      </c>
      <c r="H12" s="497">
        <f t="shared" si="0"/>
        <v>0.12264150943396226</v>
      </c>
      <c r="I12" s="451">
        <v>7</v>
      </c>
      <c r="J12" s="451">
        <v>6</v>
      </c>
      <c r="K12" s="451">
        <v>4</v>
      </c>
      <c r="L12" s="451">
        <v>1</v>
      </c>
      <c r="M12" s="451">
        <v>3</v>
      </c>
      <c r="N12" s="451">
        <v>5</v>
      </c>
    </row>
    <row r="13" spans="1:16" x14ac:dyDescent="0.2">
      <c r="A13" s="450" t="s">
        <v>1435</v>
      </c>
      <c r="B13" s="218" t="s">
        <v>218</v>
      </c>
      <c r="C13" s="450" t="s">
        <v>68</v>
      </c>
      <c r="D13" s="450" t="s">
        <v>363</v>
      </c>
      <c r="E13" s="451">
        <f t="shared" si="1"/>
        <v>4</v>
      </c>
      <c r="F13" s="451">
        <v>2</v>
      </c>
      <c r="G13" s="451">
        <v>2</v>
      </c>
      <c r="H13" s="497">
        <f t="shared" si="0"/>
        <v>3.7735849056603772E-2</v>
      </c>
      <c r="I13" s="451">
        <v>2</v>
      </c>
      <c r="J13" s="451">
        <v>2</v>
      </c>
      <c r="K13" s="451">
        <v>0</v>
      </c>
      <c r="L13" s="451">
        <v>1</v>
      </c>
      <c r="M13" s="451">
        <v>1</v>
      </c>
      <c r="N13" s="451">
        <v>2</v>
      </c>
    </row>
    <row r="14" spans="1:16" x14ac:dyDescent="0.2">
      <c r="A14" s="450" t="s">
        <v>1435</v>
      </c>
      <c r="B14" s="218" t="s">
        <v>218</v>
      </c>
      <c r="C14" s="450" t="s">
        <v>68</v>
      </c>
      <c r="D14" s="450" t="s">
        <v>365</v>
      </c>
      <c r="E14" s="451">
        <f t="shared" si="1"/>
        <v>7</v>
      </c>
      <c r="F14" s="451">
        <v>2</v>
      </c>
      <c r="G14" s="451">
        <v>5</v>
      </c>
      <c r="H14" s="497">
        <f t="shared" si="0"/>
        <v>6.6037735849056603E-2</v>
      </c>
      <c r="I14" s="451">
        <v>5</v>
      </c>
      <c r="J14" s="451">
        <v>2</v>
      </c>
      <c r="K14" s="451">
        <v>2</v>
      </c>
      <c r="L14" s="451">
        <v>0</v>
      </c>
      <c r="M14" s="451">
        <v>3</v>
      </c>
      <c r="N14" s="451">
        <v>2</v>
      </c>
    </row>
    <row r="15" spans="1:16" x14ac:dyDescent="0.2">
      <c r="A15" s="450" t="s">
        <v>1435</v>
      </c>
      <c r="B15" s="218" t="s">
        <v>218</v>
      </c>
      <c r="C15" s="450" t="s">
        <v>68</v>
      </c>
      <c r="D15" s="450" t="s">
        <v>367</v>
      </c>
      <c r="E15" s="451">
        <f t="shared" si="1"/>
        <v>6</v>
      </c>
      <c r="F15" s="451">
        <v>4</v>
      </c>
      <c r="G15" s="451">
        <f>1+1</f>
        <v>2</v>
      </c>
      <c r="H15" s="497">
        <f t="shared" si="0"/>
        <v>5.6603773584905662E-2</v>
      </c>
      <c r="I15" s="451">
        <f>4+1</f>
        <v>5</v>
      </c>
      <c r="J15" s="451">
        <v>1</v>
      </c>
      <c r="K15" s="451">
        <v>1</v>
      </c>
      <c r="L15" s="451">
        <v>0</v>
      </c>
      <c r="M15" s="451">
        <v>1</v>
      </c>
      <c r="N15" s="451">
        <f>3+1</f>
        <v>4</v>
      </c>
    </row>
    <row r="16" spans="1:16" x14ac:dyDescent="0.2">
      <c r="A16" s="450" t="s">
        <v>1435</v>
      </c>
      <c r="B16" s="218" t="s">
        <v>218</v>
      </c>
      <c r="C16" s="450" t="s">
        <v>68</v>
      </c>
      <c r="D16" s="450" t="s">
        <v>368</v>
      </c>
      <c r="E16" s="451">
        <f t="shared" si="1"/>
        <v>2</v>
      </c>
      <c r="F16" s="451">
        <v>1</v>
      </c>
      <c r="G16" s="451">
        <v>1</v>
      </c>
      <c r="H16" s="497">
        <f t="shared" si="0"/>
        <v>1.8867924528301886E-2</v>
      </c>
      <c r="I16" s="451">
        <v>2</v>
      </c>
      <c r="J16" s="451">
        <v>0</v>
      </c>
      <c r="K16" s="451">
        <v>0</v>
      </c>
      <c r="L16" s="451">
        <v>0</v>
      </c>
      <c r="M16" s="451">
        <v>0</v>
      </c>
      <c r="N16" s="451">
        <v>2</v>
      </c>
    </row>
    <row r="17" spans="1:14" x14ac:dyDescent="0.2">
      <c r="A17" s="450" t="s">
        <v>1435</v>
      </c>
      <c r="B17" s="218" t="s">
        <v>218</v>
      </c>
      <c r="C17" s="450" t="s">
        <v>68</v>
      </c>
      <c r="D17" s="450" t="s">
        <v>369</v>
      </c>
      <c r="E17" s="451">
        <f t="shared" si="1"/>
        <v>8</v>
      </c>
      <c r="F17" s="451">
        <v>7</v>
      </c>
      <c r="G17" s="451">
        <v>1</v>
      </c>
      <c r="H17" s="497">
        <f t="shared" si="0"/>
        <v>7.5471698113207544E-2</v>
      </c>
      <c r="I17" s="451">
        <v>8</v>
      </c>
      <c r="J17" s="451">
        <v>0</v>
      </c>
      <c r="K17" s="451">
        <v>1</v>
      </c>
      <c r="L17" s="451">
        <v>2</v>
      </c>
      <c r="M17" s="451">
        <v>0</v>
      </c>
      <c r="N17" s="451">
        <v>5</v>
      </c>
    </row>
    <row r="18" spans="1:14" x14ac:dyDescent="0.2">
      <c r="A18" s="450" t="s">
        <v>1435</v>
      </c>
      <c r="B18" s="218" t="s">
        <v>218</v>
      </c>
      <c r="C18" s="450" t="s">
        <v>68</v>
      </c>
      <c r="D18" s="450" t="s">
        <v>370</v>
      </c>
      <c r="E18" s="451">
        <f t="shared" si="1"/>
        <v>4</v>
      </c>
      <c r="F18" s="451">
        <v>3</v>
      </c>
      <c r="G18" s="451">
        <v>1</v>
      </c>
      <c r="H18" s="497">
        <f t="shared" si="0"/>
        <v>3.7735849056603772E-2</v>
      </c>
      <c r="I18" s="451">
        <v>3</v>
      </c>
      <c r="J18" s="451">
        <v>1</v>
      </c>
      <c r="K18" s="451">
        <v>0</v>
      </c>
      <c r="L18" s="451">
        <v>0</v>
      </c>
      <c r="M18" s="451">
        <v>1</v>
      </c>
      <c r="N18" s="451">
        <v>3</v>
      </c>
    </row>
    <row r="19" spans="1:14" hidden="1" x14ac:dyDescent="0.2">
      <c r="A19" s="450"/>
      <c r="B19" s="218"/>
      <c r="C19" s="450"/>
      <c r="D19" s="450"/>
      <c r="E19" s="451"/>
      <c r="F19" s="499"/>
      <c r="G19" s="499"/>
      <c r="H19" s="497"/>
      <c r="I19" s="499"/>
      <c r="J19" s="499"/>
      <c r="K19" s="499"/>
      <c r="L19" s="499"/>
      <c r="M19" s="499"/>
      <c r="N19" s="499"/>
    </row>
    <row r="20" spans="1:14" x14ac:dyDescent="0.2">
      <c r="A20" s="730" t="s">
        <v>218</v>
      </c>
      <c r="B20" s="731"/>
      <c r="C20" s="731"/>
      <c r="D20" s="731"/>
      <c r="E20" s="500">
        <f>SUM(E8:E19)</f>
        <v>67</v>
      </c>
      <c r="F20" s="500">
        <f>SUM(F8:F19)</f>
        <v>41</v>
      </c>
      <c r="G20" s="500">
        <f>SUM(G8:G19)</f>
        <v>26</v>
      </c>
      <c r="H20" s="501">
        <f>E20/$E$48</f>
        <v>0.63207547169811318</v>
      </c>
      <c r="I20" s="500">
        <f t="shared" ref="I20:N20" si="2">SUM(I8:I19)</f>
        <v>51</v>
      </c>
      <c r="J20" s="500">
        <f t="shared" si="2"/>
        <v>16</v>
      </c>
      <c r="K20" s="500">
        <f t="shared" si="2"/>
        <v>8</v>
      </c>
      <c r="L20" s="500">
        <f t="shared" si="2"/>
        <v>8</v>
      </c>
      <c r="M20" s="500">
        <f>SUM(M8:M19)</f>
        <v>15</v>
      </c>
      <c r="N20" s="500">
        <f t="shared" si="2"/>
        <v>36</v>
      </c>
    </row>
    <row r="21" spans="1:14" x14ac:dyDescent="0.2">
      <c r="A21" s="450" t="s">
        <v>1435</v>
      </c>
      <c r="B21" s="218" t="s">
        <v>222</v>
      </c>
      <c r="C21" s="450" t="s">
        <v>68</v>
      </c>
      <c r="D21" s="450" t="s">
        <v>375</v>
      </c>
      <c r="E21" s="451">
        <f t="shared" si="1"/>
        <v>3</v>
      </c>
      <c r="F21" s="451">
        <v>2</v>
      </c>
      <c r="G21" s="451">
        <v>1</v>
      </c>
      <c r="H21" s="497">
        <f>E21/$E$48</f>
        <v>2.8301886792452831E-2</v>
      </c>
      <c r="I21" s="451">
        <v>3</v>
      </c>
      <c r="J21" s="451">
        <v>0</v>
      </c>
      <c r="K21" s="451">
        <v>0</v>
      </c>
      <c r="L21" s="451">
        <v>0</v>
      </c>
      <c r="M21" s="451">
        <v>2</v>
      </c>
      <c r="N21" s="451">
        <v>1</v>
      </c>
    </row>
    <row r="22" spans="1:14" x14ac:dyDescent="0.2">
      <c r="A22" s="450" t="s">
        <v>1435</v>
      </c>
      <c r="B22" s="218" t="s">
        <v>222</v>
      </c>
      <c r="C22" s="450" t="s">
        <v>68</v>
      </c>
      <c r="D22" s="450" t="s">
        <v>378</v>
      </c>
      <c r="E22" s="451">
        <f t="shared" si="1"/>
        <v>2</v>
      </c>
      <c r="F22" s="451">
        <v>1</v>
      </c>
      <c r="G22" s="451">
        <f>0+1</f>
        <v>1</v>
      </c>
      <c r="H22" s="497">
        <f>E22/$E$48</f>
        <v>1.8867924528301886E-2</v>
      </c>
      <c r="I22" s="451">
        <f>1+1</f>
        <v>2</v>
      </c>
      <c r="J22" s="451">
        <v>0</v>
      </c>
      <c r="K22" s="451">
        <v>0</v>
      </c>
      <c r="L22" s="451">
        <v>0</v>
      </c>
      <c r="M22" s="451">
        <v>0</v>
      </c>
      <c r="N22" s="451">
        <f>1+1</f>
        <v>2</v>
      </c>
    </row>
    <row r="23" spans="1:14" x14ac:dyDescent="0.2">
      <c r="A23" s="450" t="s">
        <v>1435</v>
      </c>
      <c r="B23" s="218" t="s">
        <v>222</v>
      </c>
      <c r="C23" s="450" t="s">
        <v>68</v>
      </c>
      <c r="D23" s="450" t="s">
        <v>380</v>
      </c>
      <c r="E23" s="451">
        <f t="shared" si="1"/>
        <v>1</v>
      </c>
      <c r="F23" s="451">
        <v>1</v>
      </c>
      <c r="G23" s="451">
        <v>0</v>
      </c>
      <c r="H23" s="497">
        <f>E23/$E$48</f>
        <v>9.433962264150943E-3</v>
      </c>
      <c r="I23" s="451">
        <v>1</v>
      </c>
      <c r="J23" s="451">
        <v>0</v>
      </c>
      <c r="K23" s="451">
        <v>0</v>
      </c>
      <c r="L23" s="451">
        <v>0</v>
      </c>
      <c r="M23" s="451">
        <v>0</v>
      </c>
      <c r="N23" s="451">
        <v>1</v>
      </c>
    </row>
    <row r="24" spans="1:14" x14ac:dyDescent="0.2">
      <c r="A24" s="450" t="s">
        <v>1435</v>
      </c>
      <c r="B24" s="218" t="s">
        <v>222</v>
      </c>
      <c r="C24" s="450" t="s">
        <v>68</v>
      </c>
      <c r="D24" s="450" t="s">
        <v>381</v>
      </c>
      <c r="E24" s="451">
        <f t="shared" si="1"/>
        <v>1</v>
      </c>
      <c r="F24" s="451">
        <v>0</v>
      </c>
      <c r="G24" s="451">
        <v>1</v>
      </c>
      <c r="H24" s="497">
        <f>E24/$E$48</f>
        <v>9.433962264150943E-3</v>
      </c>
      <c r="I24" s="451">
        <v>1</v>
      </c>
      <c r="J24" s="451">
        <v>0</v>
      </c>
      <c r="K24" s="451">
        <v>0</v>
      </c>
      <c r="L24" s="451">
        <v>0</v>
      </c>
      <c r="M24" s="451">
        <v>1</v>
      </c>
      <c r="N24" s="451">
        <v>0</v>
      </c>
    </row>
    <row r="25" spans="1:14" hidden="1" x14ac:dyDescent="0.2">
      <c r="A25" s="450"/>
      <c r="B25" s="218"/>
      <c r="C25" s="450"/>
      <c r="D25" s="450"/>
      <c r="E25" s="451"/>
      <c r="F25" s="451"/>
      <c r="G25" s="451"/>
      <c r="H25" s="497"/>
      <c r="I25" s="451"/>
      <c r="J25" s="451"/>
      <c r="K25" s="451"/>
      <c r="L25" s="451"/>
      <c r="M25" s="451"/>
      <c r="N25" s="451"/>
    </row>
    <row r="26" spans="1:14" hidden="1" x14ac:dyDescent="0.2">
      <c r="A26" s="450"/>
      <c r="B26" s="218"/>
      <c r="C26" s="450"/>
      <c r="D26" s="450"/>
      <c r="E26" s="451"/>
      <c r="F26" s="451"/>
      <c r="G26" s="451"/>
      <c r="H26" s="497"/>
      <c r="I26" s="451"/>
      <c r="J26" s="451"/>
      <c r="K26" s="451"/>
      <c r="L26" s="451"/>
      <c r="M26" s="451"/>
      <c r="N26" s="451"/>
    </row>
    <row r="27" spans="1:14" hidden="1" x14ac:dyDescent="0.2">
      <c r="A27" s="450"/>
      <c r="B27" s="218" t="s">
        <v>222</v>
      </c>
      <c r="C27" s="450" t="s">
        <v>68</v>
      </c>
      <c r="D27" s="450"/>
      <c r="E27" s="451"/>
      <c r="F27" s="451"/>
      <c r="G27" s="451"/>
      <c r="H27" s="497">
        <f t="shared" ref="H27:H32" si="3">E27/$E$48</f>
        <v>0</v>
      </c>
      <c r="I27" s="451"/>
      <c r="J27" s="451"/>
      <c r="K27" s="451"/>
      <c r="L27" s="451"/>
      <c r="M27" s="451"/>
      <c r="N27" s="451"/>
    </row>
    <row r="28" spans="1:14" hidden="1" x14ac:dyDescent="0.2">
      <c r="A28" s="450"/>
      <c r="B28" s="218" t="s">
        <v>222</v>
      </c>
      <c r="C28" s="450" t="s">
        <v>68</v>
      </c>
      <c r="D28" s="450"/>
      <c r="E28" s="451"/>
      <c r="F28" s="451"/>
      <c r="G28" s="451"/>
      <c r="H28" s="497">
        <f t="shared" si="3"/>
        <v>0</v>
      </c>
      <c r="I28" s="451"/>
      <c r="J28" s="451"/>
      <c r="K28" s="451"/>
      <c r="L28" s="451"/>
      <c r="M28" s="451"/>
      <c r="N28" s="451"/>
    </row>
    <row r="29" spans="1:14" x14ac:dyDescent="0.2">
      <c r="A29" s="730" t="s">
        <v>222</v>
      </c>
      <c r="B29" s="731"/>
      <c r="C29" s="731"/>
      <c r="D29" s="731"/>
      <c r="E29" s="500">
        <f>SUM(E21:E28)</f>
        <v>7</v>
      </c>
      <c r="F29" s="500">
        <f>SUM(F21:F28)</f>
        <v>4</v>
      </c>
      <c r="G29" s="500">
        <f>SUM(G21:G28)</f>
        <v>3</v>
      </c>
      <c r="H29" s="501">
        <f t="shared" si="3"/>
        <v>6.6037735849056603E-2</v>
      </c>
      <c r="I29" s="500">
        <f t="shared" ref="I29:N29" si="4">SUM(I21:I28)</f>
        <v>7</v>
      </c>
      <c r="J29" s="500">
        <f t="shared" si="4"/>
        <v>0</v>
      </c>
      <c r="K29" s="500">
        <f t="shared" si="4"/>
        <v>0</v>
      </c>
      <c r="L29" s="500">
        <f t="shared" si="4"/>
        <v>0</v>
      </c>
      <c r="M29" s="500">
        <f t="shared" si="4"/>
        <v>3</v>
      </c>
      <c r="N29" s="500">
        <f t="shared" si="4"/>
        <v>4</v>
      </c>
    </row>
    <row r="30" spans="1:14" x14ac:dyDescent="0.2">
      <c r="A30" s="450" t="s">
        <v>1435</v>
      </c>
      <c r="B30" s="218" t="s">
        <v>229</v>
      </c>
      <c r="C30" s="450" t="s">
        <v>68</v>
      </c>
      <c r="D30" s="450" t="s">
        <v>393</v>
      </c>
      <c r="E30" s="451">
        <f>F30+G30</f>
        <v>3</v>
      </c>
      <c r="F30" s="451">
        <v>1</v>
      </c>
      <c r="G30" s="451">
        <v>2</v>
      </c>
      <c r="H30" s="497">
        <f t="shared" si="3"/>
        <v>2.8301886792452831E-2</v>
      </c>
      <c r="I30" s="451">
        <v>3</v>
      </c>
      <c r="J30" s="451">
        <v>0</v>
      </c>
      <c r="K30" s="451">
        <v>0</v>
      </c>
      <c r="L30" s="451">
        <v>0</v>
      </c>
      <c r="M30" s="451">
        <v>0</v>
      </c>
      <c r="N30" s="451">
        <v>3</v>
      </c>
    </row>
    <row r="31" spans="1:14" x14ac:dyDescent="0.2">
      <c r="A31" s="450" t="s">
        <v>1435</v>
      </c>
      <c r="B31" s="218" t="s">
        <v>229</v>
      </c>
      <c r="C31" s="450" t="s">
        <v>68</v>
      </c>
      <c r="D31" s="450" t="s">
        <v>390</v>
      </c>
      <c r="E31" s="451">
        <f>F31+G31</f>
        <v>7</v>
      </c>
      <c r="F31" s="451">
        <v>3</v>
      </c>
      <c r="G31" s="451">
        <v>4</v>
      </c>
      <c r="H31" s="497">
        <f t="shared" si="3"/>
        <v>6.6037735849056603E-2</v>
      </c>
      <c r="I31" s="451">
        <v>6</v>
      </c>
      <c r="J31" s="451">
        <v>1</v>
      </c>
      <c r="K31" s="451">
        <v>1</v>
      </c>
      <c r="L31" s="451">
        <v>0</v>
      </c>
      <c r="M31" s="451">
        <v>1</v>
      </c>
      <c r="N31" s="451">
        <v>5</v>
      </c>
    </row>
    <row r="32" spans="1:14" x14ac:dyDescent="0.2">
      <c r="A32" s="450" t="s">
        <v>1435</v>
      </c>
      <c r="B32" s="218" t="s">
        <v>229</v>
      </c>
      <c r="C32" s="450" t="s">
        <v>68</v>
      </c>
      <c r="D32" s="450" t="s">
        <v>392</v>
      </c>
      <c r="E32" s="451">
        <f>F32+G32</f>
        <v>7</v>
      </c>
      <c r="F32" s="451">
        <v>5</v>
      </c>
      <c r="G32" s="451">
        <v>2</v>
      </c>
      <c r="H32" s="497">
        <f t="shared" si="3"/>
        <v>6.6037735849056603E-2</v>
      </c>
      <c r="I32" s="451">
        <v>5</v>
      </c>
      <c r="J32" s="451">
        <v>2</v>
      </c>
      <c r="K32" s="451">
        <v>3</v>
      </c>
      <c r="L32" s="451">
        <v>0</v>
      </c>
      <c r="M32" s="451">
        <v>1</v>
      </c>
      <c r="N32" s="451">
        <v>3</v>
      </c>
    </row>
    <row r="33" spans="1:14" hidden="1" x14ac:dyDescent="0.2">
      <c r="A33" s="450"/>
      <c r="B33" s="218"/>
      <c r="C33" s="450"/>
      <c r="D33" s="450"/>
      <c r="E33" s="451"/>
      <c r="F33" s="451"/>
      <c r="G33" s="451"/>
      <c r="H33" s="497"/>
      <c r="I33" s="451"/>
      <c r="J33" s="451"/>
      <c r="K33" s="451"/>
      <c r="L33" s="451"/>
      <c r="M33" s="451"/>
      <c r="N33" s="451"/>
    </row>
    <row r="34" spans="1:14" x14ac:dyDescent="0.2">
      <c r="A34" s="730" t="s">
        <v>229</v>
      </c>
      <c r="B34" s="731"/>
      <c r="C34" s="731"/>
      <c r="D34" s="731"/>
      <c r="E34" s="500">
        <f>SUM(E30:E33)</f>
        <v>17</v>
      </c>
      <c r="F34" s="500">
        <f>SUM(F30:F33)</f>
        <v>9</v>
      </c>
      <c r="G34" s="500">
        <f>SUM(G30:G33)</f>
        <v>8</v>
      </c>
      <c r="H34" s="501">
        <f t="shared" ref="H34:H48" si="5">E34/$E$48</f>
        <v>0.16037735849056603</v>
      </c>
      <c r="I34" s="500">
        <f t="shared" ref="I34:N34" si="6">SUM(I30:I33)</f>
        <v>14</v>
      </c>
      <c r="J34" s="500">
        <f t="shared" si="6"/>
        <v>3</v>
      </c>
      <c r="K34" s="500">
        <f t="shared" si="6"/>
        <v>4</v>
      </c>
      <c r="L34" s="500">
        <f t="shared" si="6"/>
        <v>0</v>
      </c>
      <c r="M34" s="500">
        <f t="shared" si="6"/>
        <v>2</v>
      </c>
      <c r="N34" s="500">
        <f t="shared" si="6"/>
        <v>11</v>
      </c>
    </row>
    <row r="35" spans="1:14" hidden="1" x14ac:dyDescent="0.2">
      <c r="A35" s="450" t="s">
        <v>1435</v>
      </c>
      <c r="B35" s="450" t="s">
        <v>276</v>
      </c>
      <c r="C35" s="450" t="s">
        <v>68</v>
      </c>
      <c r="D35" s="450" t="s">
        <v>340</v>
      </c>
      <c r="E35" s="451">
        <f t="shared" ref="E35:E37" si="7">F35+G35</f>
        <v>0</v>
      </c>
      <c r="F35" s="451"/>
      <c r="G35" s="451"/>
      <c r="H35" s="497">
        <f t="shared" si="5"/>
        <v>0</v>
      </c>
      <c r="I35" s="451"/>
      <c r="J35" s="451"/>
      <c r="K35" s="451"/>
      <c r="L35" s="451"/>
      <c r="M35" s="451"/>
      <c r="N35" s="451"/>
    </row>
    <row r="36" spans="1:14" hidden="1" x14ac:dyDescent="0.2">
      <c r="A36" s="730" t="s">
        <v>276</v>
      </c>
      <c r="B36" s="731"/>
      <c r="C36" s="731"/>
      <c r="D36" s="731"/>
      <c r="E36" s="500">
        <f>E35</f>
        <v>0</v>
      </c>
      <c r="F36" s="500">
        <f>F35</f>
        <v>0</v>
      </c>
      <c r="G36" s="500">
        <f>G35</f>
        <v>0</v>
      </c>
      <c r="H36" s="501">
        <f t="shared" si="5"/>
        <v>0</v>
      </c>
      <c r="I36" s="500">
        <f t="shared" ref="I36:N36" si="8">I35</f>
        <v>0</v>
      </c>
      <c r="J36" s="500">
        <f t="shared" si="8"/>
        <v>0</v>
      </c>
      <c r="K36" s="500">
        <f t="shared" si="8"/>
        <v>0</v>
      </c>
      <c r="L36" s="500">
        <f t="shared" si="8"/>
        <v>0</v>
      </c>
      <c r="M36" s="500">
        <f t="shared" si="8"/>
        <v>0</v>
      </c>
      <c r="N36" s="500">
        <f t="shared" si="8"/>
        <v>0</v>
      </c>
    </row>
    <row r="37" spans="1:14" x14ac:dyDescent="0.2">
      <c r="A37" s="450" t="s">
        <v>1435</v>
      </c>
      <c r="B37" s="218" t="s">
        <v>233</v>
      </c>
      <c r="C37" s="450" t="s">
        <v>68</v>
      </c>
      <c r="D37" s="450" t="s">
        <v>397</v>
      </c>
      <c r="E37" s="451">
        <f t="shared" si="7"/>
        <v>11</v>
      </c>
      <c r="F37" s="451">
        <v>7</v>
      </c>
      <c r="G37" s="451">
        <v>4</v>
      </c>
      <c r="H37" s="497">
        <f t="shared" si="5"/>
        <v>0.10377358490566038</v>
      </c>
      <c r="I37" s="451">
        <v>10</v>
      </c>
      <c r="J37" s="451">
        <v>1</v>
      </c>
      <c r="K37" s="451">
        <v>1</v>
      </c>
      <c r="L37" s="451">
        <v>0</v>
      </c>
      <c r="M37" s="451">
        <v>4</v>
      </c>
      <c r="N37" s="451">
        <v>6</v>
      </c>
    </row>
    <row r="38" spans="1:14" hidden="1" x14ac:dyDescent="0.2">
      <c r="A38" s="450"/>
      <c r="B38" s="218" t="s">
        <v>233</v>
      </c>
      <c r="C38" s="450" t="s">
        <v>68</v>
      </c>
      <c r="D38" s="450"/>
      <c r="E38" s="451"/>
      <c r="F38" s="451"/>
      <c r="G38" s="451"/>
      <c r="H38" s="497">
        <f t="shared" si="5"/>
        <v>0</v>
      </c>
      <c r="I38" s="451"/>
      <c r="J38" s="451"/>
      <c r="K38" s="451"/>
      <c r="L38" s="451"/>
      <c r="M38" s="451"/>
      <c r="N38" s="451"/>
    </row>
    <row r="39" spans="1:14" hidden="1" x14ac:dyDescent="0.2">
      <c r="A39" s="450"/>
      <c r="B39" s="218" t="s">
        <v>233</v>
      </c>
      <c r="C39" s="450" t="s">
        <v>68</v>
      </c>
      <c r="D39" s="502"/>
      <c r="E39" s="499"/>
      <c r="F39" s="499"/>
      <c r="G39" s="499"/>
      <c r="H39" s="497">
        <f t="shared" si="5"/>
        <v>0</v>
      </c>
      <c r="I39" s="499"/>
      <c r="J39" s="499"/>
      <c r="K39" s="499"/>
      <c r="L39" s="499"/>
      <c r="M39" s="499"/>
      <c r="N39" s="499"/>
    </row>
    <row r="40" spans="1:14" hidden="1" x14ac:dyDescent="0.2">
      <c r="A40" s="553"/>
      <c r="B40" s="323" t="s">
        <v>233</v>
      </c>
      <c r="C40" s="553" t="s">
        <v>68</v>
      </c>
      <c r="D40" s="554"/>
      <c r="E40" s="555"/>
      <c r="F40" s="555"/>
      <c r="G40" s="555"/>
      <c r="H40" s="556">
        <f t="shared" si="5"/>
        <v>0</v>
      </c>
      <c r="I40" s="555"/>
      <c r="J40" s="555"/>
      <c r="K40" s="555"/>
      <c r="L40" s="555"/>
      <c r="M40" s="555"/>
      <c r="N40" s="555"/>
    </row>
    <row r="41" spans="1:14" x14ac:dyDescent="0.2">
      <c r="A41" s="737" t="s">
        <v>233</v>
      </c>
      <c r="B41" s="738"/>
      <c r="C41" s="738"/>
      <c r="D41" s="738"/>
      <c r="E41" s="559">
        <f>SUM(E37:E40)</f>
        <v>11</v>
      </c>
      <c r="F41" s="559">
        <f>SUM(F37:F40)</f>
        <v>7</v>
      </c>
      <c r="G41" s="559">
        <f>SUM(G37:G40)</f>
        <v>4</v>
      </c>
      <c r="H41" s="560">
        <f t="shared" si="5"/>
        <v>0.10377358490566038</v>
      </c>
      <c r="I41" s="559">
        <f t="shared" ref="I41:N41" si="9">SUM(I37:I40)</f>
        <v>10</v>
      </c>
      <c r="J41" s="559">
        <f t="shared" si="9"/>
        <v>1</v>
      </c>
      <c r="K41" s="559">
        <f t="shared" si="9"/>
        <v>1</v>
      </c>
      <c r="L41" s="559">
        <f t="shared" si="9"/>
        <v>0</v>
      </c>
      <c r="M41" s="559">
        <f t="shared" si="9"/>
        <v>4</v>
      </c>
      <c r="N41" s="559">
        <f t="shared" si="9"/>
        <v>6</v>
      </c>
    </row>
    <row r="42" spans="1:14" x14ac:dyDescent="0.2">
      <c r="A42" s="557" t="s">
        <v>1435</v>
      </c>
      <c r="B42" s="328" t="s">
        <v>324</v>
      </c>
      <c r="C42" s="557" t="s">
        <v>68</v>
      </c>
      <c r="D42" s="557" t="s">
        <v>293</v>
      </c>
      <c r="E42" s="480">
        <f t="shared" ref="E42:E44" si="10">F42+G42</f>
        <v>1</v>
      </c>
      <c r="F42" s="480">
        <v>1</v>
      </c>
      <c r="G42" s="480">
        <v>0</v>
      </c>
      <c r="H42" s="558">
        <f t="shared" si="5"/>
        <v>9.433962264150943E-3</v>
      </c>
      <c r="I42" s="480">
        <v>0</v>
      </c>
      <c r="J42" s="480">
        <v>1</v>
      </c>
      <c r="K42" s="480">
        <v>0</v>
      </c>
      <c r="L42" s="480">
        <v>0</v>
      </c>
      <c r="M42" s="480">
        <v>0</v>
      </c>
      <c r="N42" s="480">
        <v>1</v>
      </c>
    </row>
    <row r="43" spans="1:14" x14ac:dyDescent="0.2">
      <c r="A43" s="450" t="s">
        <v>1435</v>
      </c>
      <c r="B43" s="218" t="s">
        <v>324</v>
      </c>
      <c r="C43" s="450" t="s">
        <v>68</v>
      </c>
      <c r="D43" s="450" t="s">
        <v>404</v>
      </c>
      <c r="E43" s="451">
        <f t="shared" si="10"/>
        <v>1</v>
      </c>
      <c r="F43" s="451">
        <v>1</v>
      </c>
      <c r="G43" s="451">
        <v>0</v>
      </c>
      <c r="H43" s="497">
        <f t="shared" si="5"/>
        <v>9.433962264150943E-3</v>
      </c>
      <c r="I43" s="451">
        <v>0</v>
      </c>
      <c r="J43" s="451">
        <v>1</v>
      </c>
      <c r="K43" s="451">
        <v>0</v>
      </c>
      <c r="L43" s="451">
        <v>0</v>
      </c>
      <c r="M43" s="451">
        <v>0</v>
      </c>
      <c r="N43" s="451">
        <v>1</v>
      </c>
    </row>
    <row r="44" spans="1:14" x14ac:dyDescent="0.2">
      <c r="A44" s="450" t="s">
        <v>1435</v>
      </c>
      <c r="B44" s="218" t="s">
        <v>324</v>
      </c>
      <c r="C44" s="450" t="s">
        <v>68</v>
      </c>
      <c r="D44" s="450" t="s">
        <v>405</v>
      </c>
      <c r="E44" s="451">
        <f t="shared" si="10"/>
        <v>2</v>
      </c>
      <c r="F44" s="451">
        <v>2</v>
      </c>
      <c r="G44" s="451">
        <v>0</v>
      </c>
      <c r="H44" s="497">
        <f t="shared" si="5"/>
        <v>1.8867924528301886E-2</v>
      </c>
      <c r="I44" s="451">
        <v>2</v>
      </c>
      <c r="J44" s="451">
        <v>0</v>
      </c>
      <c r="K44" s="451">
        <v>0</v>
      </c>
      <c r="L44" s="451">
        <v>0</v>
      </c>
      <c r="M44" s="451">
        <v>0</v>
      </c>
      <c r="N44" s="451">
        <v>2</v>
      </c>
    </row>
    <row r="45" spans="1:14" x14ac:dyDescent="0.2">
      <c r="A45" s="730" t="s">
        <v>324</v>
      </c>
      <c r="B45" s="731"/>
      <c r="C45" s="731"/>
      <c r="D45" s="731"/>
      <c r="E45" s="500">
        <f>SUM(E42:E44)</f>
        <v>4</v>
      </c>
      <c r="F45" s="500">
        <f t="shared" ref="F45:G45" si="11">SUM(F42:F44)</f>
        <v>4</v>
      </c>
      <c r="G45" s="500">
        <f t="shared" si="11"/>
        <v>0</v>
      </c>
      <c r="H45" s="501">
        <f t="shared" si="5"/>
        <v>3.7735849056603772E-2</v>
      </c>
      <c r="I45" s="500">
        <f>SUM(I42:I44)</f>
        <v>2</v>
      </c>
      <c r="J45" s="500">
        <f t="shared" ref="J45:N45" si="12">SUM(J42:J44)</f>
        <v>2</v>
      </c>
      <c r="K45" s="500">
        <f t="shared" si="12"/>
        <v>0</v>
      </c>
      <c r="L45" s="500">
        <f t="shared" si="12"/>
        <v>0</v>
      </c>
      <c r="M45" s="500">
        <f t="shared" si="12"/>
        <v>0</v>
      </c>
      <c r="N45" s="500">
        <f t="shared" si="12"/>
        <v>4</v>
      </c>
    </row>
    <row r="46" spans="1:14" x14ac:dyDescent="0.2">
      <c r="A46" s="739" t="s">
        <v>237</v>
      </c>
      <c r="B46" s="740"/>
      <c r="C46" s="740"/>
      <c r="D46" s="740"/>
      <c r="E46" s="462">
        <f>E20+E29+E34+E36+E45+E41</f>
        <v>106</v>
      </c>
      <c r="F46" s="462">
        <f>F20+F29+F34+F36+F45+F41</f>
        <v>65</v>
      </c>
      <c r="G46" s="462">
        <f>G20+G29+G34+G36+G45+G41</f>
        <v>41</v>
      </c>
      <c r="H46" s="503">
        <f t="shared" si="5"/>
        <v>1</v>
      </c>
      <c r="I46" s="462">
        <f t="shared" ref="I46:N46" si="13">I20+I29+I34+I36+I45+I41</f>
        <v>84</v>
      </c>
      <c r="J46" s="462">
        <f t="shared" si="13"/>
        <v>22</v>
      </c>
      <c r="K46" s="462">
        <f t="shared" si="13"/>
        <v>13</v>
      </c>
      <c r="L46" s="462">
        <f t="shared" si="13"/>
        <v>8</v>
      </c>
      <c r="M46" s="462">
        <f t="shared" si="13"/>
        <v>24</v>
      </c>
      <c r="N46" s="462">
        <f t="shared" si="13"/>
        <v>61</v>
      </c>
    </row>
    <row r="47" spans="1:14" x14ac:dyDescent="0.2">
      <c r="A47" s="739" t="s">
        <v>238</v>
      </c>
      <c r="B47" s="739"/>
      <c r="C47" s="739"/>
      <c r="D47" s="739"/>
      <c r="E47" s="462">
        <v>0</v>
      </c>
      <c r="F47" s="462">
        <v>0</v>
      </c>
      <c r="G47" s="462">
        <v>0</v>
      </c>
      <c r="H47" s="503">
        <f t="shared" si="5"/>
        <v>0</v>
      </c>
      <c r="I47" s="462">
        <v>0</v>
      </c>
      <c r="J47" s="462">
        <v>0</v>
      </c>
      <c r="K47" s="462">
        <v>0</v>
      </c>
      <c r="L47" s="462">
        <v>0</v>
      </c>
      <c r="M47" s="462">
        <v>0</v>
      </c>
      <c r="N47" s="462">
        <v>0</v>
      </c>
    </row>
    <row r="48" spans="1:14" x14ac:dyDescent="0.2">
      <c r="A48" s="741" t="s">
        <v>239</v>
      </c>
      <c r="B48" s="741"/>
      <c r="C48" s="741"/>
      <c r="D48" s="741"/>
      <c r="E48" s="464">
        <f>E46+E47</f>
        <v>106</v>
      </c>
      <c r="F48" s="464">
        <f>F46+F47</f>
        <v>65</v>
      </c>
      <c r="G48" s="464">
        <f>G46+G47</f>
        <v>41</v>
      </c>
      <c r="H48" s="503">
        <f t="shared" si="5"/>
        <v>1</v>
      </c>
      <c r="I48" s="464">
        <f>I46+I47</f>
        <v>84</v>
      </c>
      <c r="J48" s="464">
        <f t="shared" ref="J48:N48" si="14">J46+J47</f>
        <v>22</v>
      </c>
      <c r="K48" s="464">
        <f t="shared" si="14"/>
        <v>13</v>
      </c>
      <c r="L48" s="464">
        <f t="shared" si="14"/>
        <v>8</v>
      </c>
      <c r="M48" s="464">
        <f t="shared" si="14"/>
        <v>24</v>
      </c>
      <c r="N48" s="464">
        <f t="shared" si="14"/>
        <v>61</v>
      </c>
    </row>
    <row r="49" spans="6:14" x14ac:dyDescent="0.2">
      <c r="F49" s="274">
        <f>F48/$E$48</f>
        <v>0.6132075471698113</v>
      </c>
      <c r="G49" s="274">
        <f t="shared" ref="G49:N49" si="15">G48/$E$48</f>
        <v>0.3867924528301887</v>
      </c>
      <c r="H49" s="274"/>
      <c r="I49" s="274">
        <f>I48/$E$48</f>
        <v>0.79245283018867929</v>
      </c>
      <c r="J49" s="274">
        <f t="shared" si="15"/>
        <v>0.20754716981132076</v>
      </c>
      <c r="K49" s="274">
        <f t="shared" si="15"/>
        <v>0.12264150943396226</v>
      </c>
      <c r="L49" s="274">
        <f>L48/$E$48</f>
        <v>7.5471698113207544E-2</v>
      </c>
      <c r="M49" s="274">
        <f t="shared" si="15"/>
        <v>0.22641509433962265</v>
      </c>
      <c r="N49" s="274">
        <f t="shared" si="15"/>
        <v>0.57547169811320753</v>
      </c>
    </row>
  </sheetData>
  <mergeCells count="19">
    <mergeCell ref="A36:D36"/>
    <mergeCell ref="A41:D41"/>
    <mergeCell ref="A46:D46"/>
    <mergeCell ref="A47:D47"/>
    <mergeCell ref="A48:D48"/>
    <mergeCell ref="A45:D45"/>
    <mergeCell ref="A20:D20"/>
    <mergeCell ref="A29:D29"/>
    <mergeCell ref="A34:D34"/>
    <mergeCell ref="A5:N5"/>
    <mergeCell ref="K6:N6"/>
    <mergeCell ref="E6:E7"/>
    <mergeCell ref="F6:G6"/>
    <mergeCell ref="H6:H7"/>
    <mergeCell ref="I6:J6"/>
    <mergeCell ref="A6:A7"/>
    <mergeCell ref="B6:B7"/>
    <mergeCell ref="C6:C7"/>
    <mergeCell ref="D6:D7"/>
  </mergeCells>
  <hyperlinks>
    <hyperlink ref="J1" location="'Table of Contents'!A1" display="Back to Table Of Contents" xr:uid="{00000000-0004-0000-0B00-000000000000}"/>
  </hyperlinks>
  <pageMargins left="0.5" right="0.5" top="0.5" bottom="0.5" header="0.5" footer="0.25"/>
  <pageSetup orientation="landscape" r:id="rId1"/>
  <headerFooter alignWithMargins="0">
    <oddHeader>&amp;ROctober 2022</oddHeader>
    <oddFooter>&amp;CPage &amp;P of &amp;N&amp;R&amp;8&amp;F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A9E03-D797-43B7-A2E7-4F40CE4410F0}">
  <sheetPr>
    <tabColor theme="6"/>
  </sheetPr>
  <dimension ref="A1:R49"/>
  <sheetViews>
    <sheetView zoomScale="96" zoomScaleNormal="96" zoomScalePageLayoutView="70" workbookViewId="0">
      <selection activeCell="A41" sqref="A41:D41"/>
    </sheetView>
  </sheetViews>
  <sheetFormatPr defaultColWidth="9.140625" defaultRowHeight="12.75" x14ac:dyDescent="0.2"/>
  <cols>
    <col min="1" max="1" width="5.5703125" style="498" customWidth="1"/>
    <col min="2" max="2" width="8.140625" style="498" customWidth="1"/>
    <col min="3" max="3" width="5.7109375" style="498" customWidth="1"/>
    <col min="4" max="4" width="22.28515625" style="498" customWidth="1"/>
    <col min="5" max="5" width="5.42578125" style="498" customWidth="1"/>
    <col min="6" max="6" width="4.28515625" style="498" customWidth="1"/>
    <col min="7" max="7" width="4.140625" style="498" customWidth="1"/>
    <col min="8" max="8" width="10.5703125" style="498" customWidth="1"/>
    <col min="9" max="10" width="4.7109375" style="498" customWidth="1"/>
    <col min="11" max="11" width="9.7109375" style="498" customWidth="1"/>
    <col min="12" max="16" width="9.28515625" style="498" customWidth="1"/>
    <col min="17" max="17" width="10.42578125" style="498" customWidth="1"/>
    <col min="18" max="18" width="9.28515625" style="498" customWidth="1"/>
    <col min="19" max="16384" width="9.140625" style="498"/>
  </cols>
  <sheetData>
    <row r="1" spans="1:18" s="29" customFormat="1" ht="18.75" x14ac:dyDescent="0.3">
      <c r="C1" s="491"/>
      <c r="J1" s="132" t="s">
        <v>98</v>
      </c>
    </row>
    <row r="2" spans="1:18" s="29" customFormat="1" ht="15.75" x14ac:dyDescent="0.25">
      <c r="C2" s="492"/>
    </row>
    <row r="3" spans="1:18" s="29" customFormat="1" x14ac:dyDescent="0.2">
      <c r="C3" s="493"/>
    </row>
    <row r="4" spans="1:18" s="29" customFormat="1" ht="23.45" customHeight="1" x14ac:dyDescent="0.2">
      <c r="C4" s="493"/>
    </row>
    <row r="5" spans="1:18" s="29" customFormat="1" ht="18.75" customHeight="1" x14ac:dyDescent="0.2">
      <c r="A5" s="732" t="s">
        <v>1430</v>
      </c>
      <c r="B5" s="732"/>
      <c r="C5" s="732"/>
      <c r="D5" s="732"/>
      <c r="E5" s="732"/>
      <c r="F5" s="732"/>
      <c r="G5" s="732"/>
      <c r="H5" s="732"/>
      <c r="I5" s="732"/>
      <c r="J5" s="732"/>
      <c r="K5" s="732"/>
      <c r="L5" s="732"/>
      <c r="M5" s="732"/>
      <c r="N5" s="732"/>
    </row>
    <row r="6" spans="1:18" s="494" customFormat="1" ht="19.7" customHeight="1" x14ac:dyDescent="0.15">
      <c r="A6" s="734" t="s">
        <v>128</v>
      </c>
      <c r="B6" s="736" t="s">
        <v>240</v>
      </c>
      <c r="C6" s="736" t="s">
        <v>269</v>
      </c>
      <c r="D6" s="734" t="s">
        <v>268</v>
      </c>
      <c r="E6" s="734" t="s">
        <v>87</v>
      </c>
      <c r="F6" s="735" t="s">
        <v>71</v>
      </c>
      <c r="G6" s="735"/>
      <c r="H6" s="733" t="s">
        <v>267</v>
      </c>
      <c r="I6" s="733" t="s">
        <v>86</v>
      </c>
      <c r="J6" s="733"/>
      <c r="K6" s="733" t="s">
        <v>171</v>
      </c>
      <c r="L6" s="733"/>
      <c r="M6" s="733"/>
      <c r="N6" s="733"/>
      <c r="O6" s="733"/>
      <c r="P6" s="733"/>
      <c r="Q6" s="733"/>
      <c r="R6" s="733"/>
    </row>
    <row r="7" spans="1:18" s="494" customFormat="1" ht="52.5" customHeight="1" x14ac:dyDescent="0.2">
      <c r="A7" s="734"/>
      <c r="B7" s="736"/>
      <c r="C7" s="736"/>
      <c r="D7" s="734"/>
      <c r="E7" s="734"/>
      <c r="F7" s="495" t="s">
        <v>265</v>
      </c>
      <c r="G7" s="495" t="s">
        <v>264</v>
      </c>
      <c r="H7" s="733"/>
      <c r="I7" s="496" t="s">
        <v>168</v>
      </c>
      <c r="J7" s="496" t="s">
        <v>167</v>
      </c>
      <c r="K7" s="496" t="s">
        <v>136</v>
      </c>
      <c r="L7" s="496" t="s">
        <v>110</v>
      </c>
      <c r="M7" s="496" t="s">
        <v>155</v>
      </c>
      <c r="N7" s="496" t="s">
        <v>165</v>
      </c>
      <c r="O7" s="504" t="s">
        <v>164</v>
      </c>
      <c r="P7" s="504" t="s">
        <v>156</v>
      </c>
      <c r="Q7" s="504" t="s">
        <v>184</v>
      </c>
      <c r="R7" s="504" t="s">
        <v>170</v>
      </c>
    </row>
    <row r="8" spans="1:18" x14ac:dyDescent="0.2">
      <c r="A8" s="450" t="s">
        <v>1435</v>
      </c>
      <c r="B8" s="218" t="s">
        <v>218</v>
      </c>
      <c r="C8" s="450" t="s">
        <v>68</v>
      </c>
      <c r="D8" s="450" t="s">
        <v>328</v>
      </c>
      <c r="E8" s="451">
        <f>F8+G8</f>
        <v>1</v>
      </c>
      <c r="F8" s="451">
        <v>1</v>
      </c>
      <c r="G8" s="451">
        <v>0</v>
      </c>
      <c r="H8" s="497">
        <f t="shared" ref="H8:H18" si="0">E8/$E$48</f>
        <v>9.433962264150943E-3</v>
      </c>
      <c r="I8" s="451">
        <v>1</v>
      </c>
      <c r="J8" s="451">
        <v>0</v>
      </c>
      <c r="K8" s="451">
        <v>1</v>
      </c>
      <c r="L8" s="451">
        <v>0</v>
      </c>
      <c r="M8" s="451">
        <v>0</v>
      </c>
      <c r="N8" s="468">
        <v>0</v>
      </c>
      <c r="O8" s="469">
        <v>0</v>
      </c>
      <c r="P8" s="469">
        <v>0</v>
      </c>
      <c r="Q8" s="505">
        <v>0</v>
      </c>
      <c r="R8" s="505">
        <v>0</v>
      </c>
    </row>
    <row r="9" spans="1:18" x14ac:dyDescent="0.2">
      <c r="A9" s="450" t="s">
        <v>1435</v>
      </c>
      <c r="B9" s="218" t="s">
        <v>218</v>
      </c>
      <c r="C9" s="450" t="s">
        <v>68</v>
      </c>
      <c r="D9" s="450" t="s">
        <v>359</v>
      </c>
      <c r="E9" s="451">
        <f t="shared" ref="E9:E18" si="1">F9+G9</f>
        <v>2</v>
      </c>
      <c r="F9" s="451">
        <v>1</v>
      </c>
      <c r="G9" s="451">
        <v>1</v>
      </c>
      <c r="H9" s="497">
        <f t="shared" si="0"/>
        <v>1.8867924528301886E-2</v>
      </c>
      <c r="I9" s="451">
        <v>2</v>
      </c>
      <c r="J9" s="451">
        <v>0</v>
      </c>
      <c r="K9" s="451">
        <v>2</v>
      </c>
      <c r="L9" s="451">
        <v>0</v>
      </c>
      <c r="M9" s="451">
        <v>0</v>
      </c>
      <c r="N9" s="468">
        <v>0</v>
      </c>
      <c r="O9" s="505">
        <v>0</v>
      </c>
      <c r="P9" s="505">
        <v>0</v>
      </c>
      <c r="Q9" s="505">
        <v>0</v>
      </c>
      <c r="R9" s="505">
        <v>0</v>
      </c>
    </row>
    <row r="10" spans="1:18" x14ac:dyDescent="0.2">
      <c r="A10" s="450" t="s">
        <v>1435</v>
      </c>
      <c r="B10" s="218" t="s">
        <v>218</v>
      </c>
      <c r="C10" s="450" t="s">
        <v>68</v>
      </c>
      <c r="D10" s="450" t="s">
        <v>360</v>
      </c>
      <c r="E10" s="451">
        <f t="shared" si="1"/>
        <v>3</v>
      </c>
      <c r="F10" s="451">
        <v>2</v>
      </c>
      <c r="G10" s="451">
        <v>1</v>
      </c>
      <c r="H10" s="497">
        <f t="shared" si="0"/>
        <v>2.8301886792452831E-2</v>
      </c>
      <c r="I10" s="451">
        <v>3</v>
      </c>
      <c r="J10" s="451">
        <v>0</v>
      </c>
      <c r="K10" s="451">
        <v>2</v>
      </c>
      <c r="L10" s="451">
        <v>1</v>
      </c>
      <c r="M10" s="451">
        <v>0</v>
      </c>
      <c r="N10" s="468">
        <v>0</v>
      </c>
      <c r="O10" s="505">
        <v>0</v>
      </c>
      <c r="P10" s="505">
        <v>0</v>
      </c>
      <c r="Q10" s="505">
        <v>0</v>
      </c>
      <c r="R10" s="505">
        <v>0</v>
      </c>
    </row>
    <row r="11" spans="1:18" x14ac:dyDescent="0.2">
      <c r="A11" s="450" t="s">
        <v>1435</v>
      </c>
      <c r="B11" s="218" t="s">
        <v>218</v>
      </c>
      <c r="C11" s="450" t="s">
        <v>68</v>
      </c>
      <c r="D11" s="450" t="s">
        <v>371</v>
      </c>
      <c r="E11" s="451">
        <f t="shared" si="1"/>
        <v>17</v>
      </c>
      <c r="F11" s="451">
        <v>10</v>
      </c>
      <c r="G11" s="451">
        <v>7</v>
      </c>
      <c r="H11" s="497">
        <f t="shared" si="0"/>
        <v>0.16037735849056603</v>
      </c>
      <c r="I11" s="451">
        <v>13</v>
      </c>
      <c r="J11" s="451">
        <v>4</v>
      </c>
      <c r="K11" s="451">
        <v>6</v>
      </c>
      <c r="L11" s="451">
        <v>9</v>
      </c>
      <c r="M11" s="451">
        <v>0</v>
      </c>
      <c r="N11" s="468">
        <v>1</v>
      </c>
      <c r="O11" s="505">
        <v>0</v>
      </c>
      <c r="P11" s="505">
        <v>1</v>
      </c>
      <c r="Q11" s="505">
        <v>0</v>
      </c>
      <c r="R11" s="505">
        <v>0</v>
      </c>
    </row>
    <row r="12" spans="1:18" x14ac:dyDescent="0.2">
      <c r="A12" s="450" t="s">
        <v>1435</v>
      </c>
      <c r="B12" s="218" t="s">
        <v>218</v>
      </c>
      <c r="C12" s="450" t="s">
        <v>68</v>
      </c>
      <c r="D12" s="450" t="s">
        <v>362</v>
      </c>
      <c r="E12" s="451">
        <f t="shared" si="1"/>
        <v>13</v>
      </c>
      <c r="F12" s="451">
        <v>8</v>
      </c>
      <c r="G12" s="451">
        <v>5</v>
      </c>
      <c r="H12" s="497">
        <f t="shared" si="0"/>
        <v>0.12264150943396226</v>
      </c>
      <c r="I12" s="451">
        <v>7</v>
      </c>
      <c r="J12" s="451">
        <v>6</v>
      </c>
      <c r="K12" s="451">
        <v>3</v>
      </c>
      <c r="L12" s="451">
        <v>8</v>
      </c>
      <c r="M12" s="451">
        <v>1</v>
      </c>
      <c r="N12" s="468">
        <v>0</v>
      </c>
      <c r="O12" s="505">
        <v>0</v>
      </c>
      <c r="P12" s="505">
        <v>1</v>
      </c>
      <c r="Q12" s="505">
        <v>0</v>
      </c>
      <c r="R12" s="505">
        <v>0</v>
      </c>
    </row>
    <row r="13" spans="1:18" x14ac:dyDescent="0.2">
      <c r="A13" s="450" t="s">
        <v>1435</v>
      </c>
      <c r="B13" s="218" t="s">
        <v>218</v>
      </c>
      <c r="C13" s="450" t="s">
        <v>68</v>
      </c>
      <c r="D13" s="450" t="s">
        <v>363</v>
      </c>
      <c r="E13" s="451">
        <f t="shared" si="1"/>
        <v>4</v>
      </c>
      <c r="F13" s="451">
        <v>2</v>
      </c>
      <c r="G13" s="451">
        <v>2</v>
      </c>
      <c r="H13" s="497">
        <f t="shared" si="0"/>
        <v>3.7735849056603772E-2</v>
      </c>
      <c r="I13" s="451">
        <v>2</v>
      </c>
      <c r="J13" s="451">
        <v>2</v>
      </c>
      <c r="K13" s="451">
        <v>1</v>
      </c>
      <c r="L13" s="451">
        <v>3</v>
      </c>
      <c r="M13" s="451">
        <v>0</v>
      </c>
      <c r="N13" s="468">
        <v>0</v>
      </c>
      <c r="O13" s="505">
        <v>0</v>
      </c>
      <c r="P13" s="505">
        <v>0</v>
      </c>
      <c r="Q13" s="505">
        <v>0</v>
      </c>
      <c r="R13" s="505">
        <v>0</v>
      </c>
    </row>
    <row r="14" spans="1:18" x14ac:dyDescent="0.2">
      <c r="A14" s="450" t="s">
        <v>1435</v>
      </c>
      <c r="B14" s="218" t="s">
        <v>218</v>
      </c>
      <c r="C14" s="450" t="s">
        <v>68</v>
      </c>
      <c r="D14" s="450" t="s">
        <v>365</v>
      </c>
      <c r="E14" s="451">
        <f t="shared" si="1"/>
        <v>7</v>
      </c>
      <c r="F14" s="451">
        <v>2</v>
      </c>
      <c r="G14" s="451">
        <v>5</v>
      </c>
      <c r="H14" s="497">
        <f t="shared" si="0"/>
        <v>6.6037735849056603E-2</v>
      </c>
      <c r="I14" s="451">
        <v>5</v>
      </c>
      <c r="J14" s="451">
        <v>2</v>
      </c>
      <c r="K14" s="451">
        <v>3</v>
      </c>
      <c r="L14" s="451">
        <v>4</v>
      </c>
      <c r="M14" s="451">
        <v>0</v>
      </c>
      <c r="N14" s="468">
        <v>0</v>
      </c>
      <c r="O14" s="505">
        <v>0</v>
      </c>
      <c r="P14" s="505">
        <v>0</v>
      </c>
      <c r="Q14" s="505">
        <v>0</v>
      </c>
      <c r="R14" s="505">
        <v>0</v>
      </c>
    </row>
    <row r="15" spans="1:18" x14ac:dyDescent="0.2">
      <c r="A15" s="450" t="s">
        <v>1435</v>
      </c>
      <c r="B15" s="218" t="s">
        <v>218</v>
      </c>
      <c r="C15" s="450" t="s">
        <v>68</v>
      </c>
      <c r="D15" s="450" t="s">
        <v>367</v>
      </c>
      <c r="E15" s="451">
        <f t="shared" si="1"/>
        <v>6</v>
      </c>
      <c r="F15" s="451">
        <v>4</v>
      </c>
      <c r="G15" s="451">
        <f>1+1</f>
        <v>2</v>
      </c>
      <c r="H15" s="497">
        <f t="shared" si="0"/>
        <v>5.6603773584905662E-2</v>
      </c>
      <c r="I15" s="451">
        <f>4+1</f>
        <v>5</v>
      </c>
      <c r="J15" s="451">
        <v>1</v>
      </c>
      <c r="K15" s="451">
        <v>2</v>
      </c>
      <c r="L15" s="451">
        <f>3+1</f>
        <v>4</v>
      </c>
      <c r="M15" s="451">
        <v>0</v>
      </c>
      <c r="N15" s="468">
        <v>0</v>
      </c>
      <c r="O15" s="505">
        <v>0</v>
      </c>
      <c r="P15" s="505">
        <v>0</v>
      </c>
      <c r="Q15" s="505">
        <v>0</v>
      </c>
      <c r="R15" s="505">
        <v>0</v>
      </c>
    </row>
    <row r="16" spans="1:18" x14ac:dyDescent="0.2">
      <c r="A16" s="450" t="s">
        <v>1435</v>
      </c>
      <c r="B16" s="218" t="s">
        <v>218</v>
      </c>
      <c r="C16" s="450" t="s">
        <v>68</v>
      </c>
      <c r="D16" s="450" t="s">
        <v>368</v>
      </c>
      <c r="E16" s="451">
        <f t="shared" si="1"/>
        <v>2</v>
      </c>
      <c r="F16" s="451">
        <v>1</v>
      </c>
      <c r="G16" s="451">
        <v>1</v>
      </c>
      <c r="H16" s="497">
        <f t="shared" si="0"/>
        <v>1.8867924528301886E-2</v>
      </c>
      <c r="I16" s="451">
        <v>2</v>
      </c>
      <c r="J16" s="451">
        <v>0</v>
      </c>
      <c r="K16" s="451">
        <v>2</v>
      </c>
      <c r="L16" s="451">
        <v>0</v>
      </c>
      <c r="M16" s="451">
        <v>0</v>
      </c>
      <c r="N16" s="468">
        <v>0</v>
      </c>
      <c r="O16" s="505">
        <v>0</v>
      </c>
      <c r="P16" s="505">
        <v>0</v>
      </c>
      <c r="Q16" s="505">
        <v>0</v>
      </c>
      <c r="R16" s="505">
        <v>0</v>
      </c>
    </row>
    <row r="17" spans="1:18" x14ac:dyDescent="0.2">
      <c r="A17" s="450" t="s">
        <v>1435</v>
      </c>
      <c r="B17" s="218" t="s">
        <v>218</v>
      </c>
      <c r="C17" s="450" t="s">
        <v>68</v>
      </c>
      <c r="D17" s="450" t="s">
        <v>369</v>
      </c>
      <c r="E17" s="451">
        <f t="shared" si="1"/>
        <v>8</v>
      </c>
      <c r="F17" s="451">
        <v>7</v>
      </c>
      <c r="G17" s="451">
        <v>1</v>
      </c>
      <c r="H17" s="497">
        <f t="shared" si="0"/>
        <v>7.5471698113207544E-2</v>
      </c>
      <c r="I17" s="451">
        <v>8</v>
      </c>
      <c r="J17" s="451">
        <v>0</v>
      </c>
      <c r="K17" s="451">
        <v>1</v>
      </c>
      <c r="L17" s="451">
        <v>7</v>
      </c>
      <c r="M17" s="451">
        <v>0</v>
      </c>
      <c r="N17" s="468">
        <v>0</v>
      </c>
      <c r="O17" s="505">
        <v>0</v>
      </c>
      <c r="P17" s="505">
        <v>0</v>
      </c>
      <c r="Q17" s="505">
        <v>0</v>
      </c>
      <c r="R17" s="505">
        <v>0</v>
      </c>
    </row>
    <row r="18" spans="1:18" x14ac:dyDescent="0.2">
      <c r="A18" s="450" t="s">
        <v>1435</v>
      </c>
      <c r="B18" s="218" t="s">
        <v>218</v>
      </c>
      <c r="C18" s="450" t="s">
        <v>68</v>
      </c>
      <c r="D18" s="450" t="s">
        <v>370</v>
      </c>
      <c r="E18" s="451">
        <f t="shared" si="1"/>
        <v>4</v>
      </c>
      <c r="F18" s="451">
        <v>3</v>
      </c>
      <c r="G18" s="451">
        <v>1</v>
      </c>
      <c r="H18" s="497">
        <f t="shared" si="0"/>
        <v>3.7735849056603772E-2</v>
      </c>
      <c r="I18" s="451">
        <v>3</v>
      </c>
      <c r="J18" s="451">
        <v>1</v>
      </c>
      <c r="K18" s="451">
        <v>3</v>
      </c>
      <c r="L18" s="451">
        <v>1</v>
      </c>
      <c r="M18" s="451">
        <v>0</v>
      </c>
      <c r="N18" s="468">
        <v>0</v>
      </c>
      <c r="O18" s="505">
        <v>0</v>
      </c>
      <c r="P18" s="505">
        <v>0</v>
      </c>
      <c r="Q18" s="505">
        <v>0</v>
      </c>
      <c r="R18" s="505">
        <v>0</v>
      </c>
    </row>
    <row r="19" spans="1:18" hidden="1" x14ac:dyDescent="0.2">
      <c r="A19" s="450"/>
      <c r="B19" s="218"/>
      <c r="C19" s="450"/>
      <c r="D19" s="450"/>
      <c r="E19" s="451"/>
      <c r="F19" s="499"/>
      <c r="G19" s="499"/>
      <c r="H19" s="497"/>
      <c r="I19" s="499"/>
      <c r="J19" s="499"/>
      <c r="K19" s="499"/>
      <c r="L19" s="499"/>
      <c r="M19" s="499"/>
      <c r="N19" s="507"/>
      <c r="O19" s="505"/>
      <c r="P19" s="505"/>
      <c r="Q19" s="505"/>
      <c r="R19" s="505"/>
    </row>
    <row r="20" spans="1:18" x14ac:dyDescent="0.2">
      <c r="A20" s="730" t="s">
        <v>218</v>
      </c>
      <c r="B20" s="731"/>
      <c r="C20" s="731"/>
      <c r="D20" s="731"/>
      <c r="E20" s="500">
        <f>SUM(E8:E19)</f>
        <v>67</v>
      </c>
      <c r="F20" s="500">
        <f>SUM(F8:F19)</f>
        <v>41</v>
      </c>
      <c r="G20" s="500">
        <f>SUM(G8:G19)</f>
        <v>26</v>
      </c>
      <c r="H20" s="501">
        <f>E20/$E$48</f>
        <v>0.63207547169811318</v>
      </c>
      <c r="I20" s="500">
        <f t="shared" ref="I20:R20" si="2">SUM(I8:I19)</f>
        <v>51</v>
      </c>
      <c r="J20" s="500">
        <f t="shared" si="2"/>
        <v>16</v>
      </c>
      <c r="K20" s="500">
        <f t="shared" si="2"/>
        <v>26</v>
      </c>
      <c r="L20" s="500">
        <f t="shared" si="2"/>
        <v>37</v>
      </c>
      <c r="M20" s="500">
        <f>SUM(M8:M19)</f>
        <v>1</v>
      </c>
      <c r="N20" s="500">
        <f t="shared" si="2"/>
        <v>1</v>
      </c>
      <c r="O20" s="508">
        <f t="shared" si="2"/>
        <v>0</v>
      </c>
      <c r="P20" s="508">
        <f t="shared" si="2"/>
        <v>2</v>
      </c>
      <c r="Q20" s="508">
        <f t="shared" si="2"/>
        <v>0</v>
      </c>
      <c r="R20" s="508">
        <f t="shared" si="2"/>
        <v>0</v>
      </c>
    </row>
    <row r="21" spans="1:18" x14ac:dyDescent="0.2">
      <c r="A21" s="450" t="s">
        <v>1435</v>
      </c>
      <c r="B21" s="218" t="s">
        <v>222</v>
      </c>
      <c r="C21" s="450" t="s">
        <v>68</v>
      </c>
      <c r="D21" s="450" t="s">
        <v>375</v>
      </c>
      <c r="E21" s="451">
        <f t="shared" ref="E21:E24" si="3">F21+G21</f>
        <v>3</v>
      </c>
      <c r="F21" s="451">
        <v>2</v>
      </c>
      <c r="G21" s="451">
        <v>1</v>
      </c>
      <c r="H21" s="497">
        <f>E21/$E$48</f>
        <v>2.8301886792452831E-2</v>
      </c>
      <c r="I21" s="451">
        <v>3</v>
      </c>
      <c r="J21" s="451">
        <v>0</v>
      </c>
      <c r="K21" s="451">
        <v>1</v>
      </c>
      <c r="L21" s="451">
        <v>1</v>
      </c>
      <c r="M21" s="451">
        <v>0</v>
      </c>
      <c r="N21" s="468">
        <v>1</v>
      </c>
      <c r="O21" s="505">
        <v>0</v>
      </c>
      <c r="P21" s="505">
        <v>0</v>
      </c>
      <c r="Q21" s="505">
        <v>0</v>
      </c>
      <c r="R21" s="505">
        <v>0</v>
      </c>
    </row>
    <row r="22" spans="1:18" x14ac:dyDescent="0.2">
      <c r="A22" s="450" t="s">
        <v>1435</v>
      </c>
      <c r="B22" s="218" t="s">
        <v>222</v>
      </c>
      <c r="C22" s="450" t="s">
        <v>68</v>
      </c>
      <c r="D22" s="450" t="s">
        <v>378</v>
      </c>
      <c r="E22" s="451">
        <f t="shared" si="3"/>
        <v>2</v>
      </c>
      <c r="F22" s="451">
        <v>1</v>
      </c>
      <c r="G22" s="451">
        <f>0+1</f>
        <v>1</v>
      </c>
      <c r="H22" s="497">
        <f>E22/$E$48</f>
        <v>1.8867924528301886E-2</v>
      </c>
      <c r="I22" s="451">
        <f>1+1</f>
        <v>2</v>
      </c>
      <c r="J22" s="451">
        <v>0</v>
      </c>
      <c r="K22" s="451">
        <v>0</v>
      </c>
      <c r="L22" s="451">
        <f>1+1</f>
        <v>2</v>
      </c>
      <c r="M22" s="451">
        <v>0</v>
      </c>
      <c r="N22" s="468">
        <v>0</v>
      </c>
      <c r="O22" s="505">
        <v>0</v>
      </c>
      <c r="P22" s="505">
        <v>0</v>
      </c>
      <c r="Q22" s="505">
        <v>0</v>
      </c>
      <c r="R22" s="505">
        <v>0</v>
      </c>
    </row>
    <row r="23" spans="1:18" x14ac:dyDescent="0.2">
      <c r="A23" s="450" t="s">
        <v>1435</v>
      </c>
      <c r="B23" s="218" t="s">
        <v>222</v>
      </c>
      <c r="C23" s="450" t="s">
        <v>68</v>
      </c>
      <c r="D23" s="450" t="s">
        <v>380</v>
      </c>
      <c r="E23" s="451">
        <f t="shared" si="3"/>
        <v>1</v>
      </c>
      <c r="F23" s="451">
        <v>1</v>
      </c>
      <c r="G23" s="451">
        <v>0</v>
      </c>
      <c r="H23" s="497">
        <f>E23/$E$48</f>
        <v>9.433962264150943E-3</v>
      </c>
      <c r="I23" s="451">
        <v>1</v>
      </c>
      <c r="J23" s="451">
        <v>0</v>
      </c>
      <c r="K23" s="451">
        <v>0</v>
      </c>
      <c r="L23" s="451">
        <v>1</v>
      </c>
      <c r="M23" s="451">
        <v>0</v>
      </c>
      <c r="N23" s="468">
        <v>0</v>
      </c>
      <c r="O23" s="505">
        <v>0</v>
      </c>
      <c r="P23" s="505">
        <v>0</v>
      </c>
      <c r="Q23" s="505">
        <v>0</v>
      </c>
      <c r="R23" s="505">
        <v>0</v>
      </c>
    </row>
    <row r="24" spans="1:18" x14ac:dyDescent="0.2">
      <c r="A24" s="450" t="s">
        <v>1435</v>
      </c>
      <c r="B24" s="218" t="s">
        <v>222</v>
      </c>
      <c r="C24" s="450" t="s">
        <v>68</v>
      </c>
      <c r="D24" s="450" t="s">
        <v>381</v>
      </c>
      <c r="E24" s="451">
        <f t="shared" si="3"/>
        <v>1</v>
      </c>
      <c r="F24" s="451">
        <v>0</v>
      </c>
      <c r="G24" s="451">
        <v>1</v>
      </c>
      <c r="H24" s="497">
        <f>E24/$E$48</f>
        <v>9.433962264150943E-3</v>
      </c>
      <c r="I24" s="451">
        <v>1</v>
      </c>
      <c r="J24" s="451">
        <v>0</v>
      </c>
      <c r="K24" s="451">
        <v>0</v>
      </c>
      <c r="L24" s="451">
        <v>1</v>
      </c>
      <c r="M24" s="451">
        <v>0</v>
      </c>
      <c r="N24" s="468">
        <v>0</v>
      </c>
      <c r="O24" s="505">
        <v>0</v>
      </c>
      <c r="P24" s="505">
        <v>0</v>
      </c>
      <c r="Q24" s="505">
        <v>0</v>
      </c>
      <c r="R24" s="505">
        <v>0</v>
      </c>
    </row>
    <row r="25" spans="1:18" hidden="1" x14ac:dyDescent="0.2">
      <c r="A25" s="450"/>
      <c r="B25" s="218"/>
      <c r="C25" s="450"/>
      <c r="D25" s="450"/>
      <c r="E25" s="451"/>
      <c r="F25" s="451"/>
      <c r="G25" s="451"/>
      <c r="H25" s="497"/>
      <c r="I25" s="451"/>
      <c r="J25" s="451"/>
      <c r="K25" s="451"/>
      <c r="L25" s="451"/>
      <c r="M25" s="451"/>
      <c r="N25" s="468"/>
      <c r="O25" s="506"/>
      <c r="P25" s="506"/>
      <c r="Q25" s="506"/>
      <c r="R25" s="506"/>
    </row>
    <row r="26" spans="1:18" hidden="1" x14ac:dyDescent="0.2">
      <c r="A26" s="450"/>
      <c r="B26" s="218"/>
      <c r="C26" s="450"/>
      <c r="D26" s="450"/>
      <c r="E26" s="451"/>
      <c r="F26" s="451"/>
      <c r="G26" s="451"/>
      <c r="H26" s="497"/>
      <c r="I26" s="451"/>
      <c r="J26" s="451"/>
      <c r="K26" s="451"/>
      <c r="L26" s="451"/>
      <c r="M26" s="451"/>
      <c r="N26" s="468"/>
      <c r="O26" s="506"/>
      <c r="P26" s="506"/>
      <c r="Q26" s="506"/>
      <c r="R26" s="506"/>
    </row>
    <row r="27" spans="1:18" hidden="1" x14ac:dyDescent="0.2">
      <c r="A27" s="450"/>
      <c r="B27" s="218" t="s">
        <v>222</v>
      </c>
      <c r="C27" s="450" t="s">
        <v>68</v>
      </c>
      <c r="D27" s="450"/>
      <c r="E27" s="451"/>
      <c r="F27" s="451"/>
      <c r="G27" s="451"/>
      <c r="H27" s="497">
        <f t="shared" ref="H27:H32" si="4">E27/$E$48</f>
        <v>0</v>
      </c>
      <c r="I27" s="451"/>
      <c r="J27" s="451"/>
      <c r="K27" s="451"/>
      <c r="L27" s="451"/>
      <c r="M27" s="451"/>
      <c r="N27" s="451"/>
    </row>
    <row r="28" spans="1:18" hidden="1" x14ac:dyDescent="0.2">
      <c r="A28" s="450"/>
      <c r="B28" s="218" t="s">
        <v>222</v>
      </c>
      <c r="C28" s="450" t="s">
        <v>68</v>
      </c>
      <c r="D28" s="450"/>
      <c r="E28" s="451"/>
      <c r="F28" s="451"/>
      <c r="G28" s="451"/>
      <c r="H28" s="497">
        <f t="shared" si="4"/>
        <v>0</v>
      </c>
      <c r="I28" s="451"/>
      <c r="J28" s="451"/>
      <c r="K28" s="451"/>
      <c r="L28" s="451"/>
      <c r="M28" s="451"/>
      <c r="N28" s="451"/>
    </row>
    <row r="29" spans="1:18" x14ac:dyDescent="0.2">
      <c r="A29" s="730" t="s">
        <v>222</v>
      </c>
      <c r="B29" s="731"/>
      <c r="C29" s="731"/>
      <c r="D29" s="731"/>
      <c r="E29" s="500">
        <f>SUM(E21:E28)</f>
        <v>7</v>
      </c>
      <c r="F29" s="500">
        <f>SUM(F21:F28)</f>
        <v>4</v>
      </c>
      <c r="G29" s="500">
        <f>SUM(G21:G28)</f>
        <v>3</v>
      </c>
      <c r="H29" s="501">
        <f t="shared" si="4"/>
        <v>6.6037735849056603E-2</v>
      </c>
      <c r="I29" s="500">
        <f t="shared" ref="I29:N29" si="5">SUM(I21:I28)</f>
        <v>7</v>
      </c>
      <c r="J29" s="500">
        <f t="shared" si="5"/>
        <v>0</v>
      </c>
      <c r="K29" s="500">
        <f t="shared" si="5"/>
        <v>1</v>
      </c>
      <c r="L29" s="500">
        <f t="shared" si="5"/>
        <v>5</v>
      </c>
      <c r="M29" s="500">
        <f t="shared" si="5"/>
        <v>0</v>
      </c>
      <c r="N29" s="500">
        <f t="shared" si="5"/>
        <v>1</v>
      </c>
      <c r="O29" s="509">
        <f t="shared" ref="O29:R29" si="6">SUM(O21:O28)</f>
        <v>0</v>
      </c>
      <c r="P29" s="509">
        <f t="shared" si="6"/>
        <v>0</v>
      </c>
      <c r="Q29" s="509">
        <f t="shared" si="6"/>
        <v>0</v>
      </c>
      <c r="R29" s="509">
        <f t="shared" si="6"/>
        <v>0</v>
      </c>
    </row>
    <row r="30" spans="1:18" x14ac:dyDescent="0.2">
      <c r="A30" s="450" t="s">
        <v>1435</v>
      </c>
      <c r="B30" s="218" t="s">
        <v>229</v>
      </c>
      <c r="C30" s="450" t="s">
        <v>68</v>
      </c>
      <c r="D30" s="450" t="s">
        <v>393</v>
      </c>
      <c r="E30" s="451">
        <f>F30+G30</f>
        <v>3</v>
      </c>
      <c r="F30" s="451">
        <v>1</v>
      </c>
      <c r="G30" s="451">
        <v>2</v>
      </c>
      <c r="H30" s="497">
        <f t="shared" si="4"/>
        <v>2.8301886792452831E-2</v>
      </c>
      <c r="I30" s="451">
        <v>3</v>
      </c>
      <c r="J30" s="451">
        <v>0</v>
      </c>
      <c r="K30" s="451">
        <v>1</v>
      </c>
      <c r="L30" s="451">
        <v>2</v>
      </c>
      <c r="M30" s="451">
        <v>0</v>
      </c>
      <c r="N30" s="468">
        <v>0</v>
      </c>
      <c r="O30" s="505">
        <v>0</v>
      </c>
      <c r="P30" s="505">
        <v>0</v>
      </c>
      <c r="Q30" s="505">
        <v>0</v>
      </c>
      <c r="R30" s="505">
        <v>0</v>
      </c>
    </row>
    <row r="31" spans="1:18" x14ac:dyDescent="0.2">
      <c r="A31" s="450" t="s">
        <v>1435</v>
      </c>
      <c r="B31" s="218" t="s">
        <v>229</v>
      </c>
      <c r="C31" s="450" t="s">
        <v>68</v>
      </c>
      <c r="D31" s="450" t="s">
        <v>390</v>
      </c>
      <c r="E31" s="451">
        <f>F31+G31</f>
        <v>7</v>
      </c>
      <c r="F31" s="451">
        <v>3</v>
      </c>
      <c r="G31" s="451">
        <v>4</v>
      </c>
      <c r="H31" s="497">
        <f t="shared" si="4"/>
        <v>6.6037735849056603E-2</v>
      </c>
      <c r="I31" s="451">
        <v>6</v>
      </c>
      <c r="J31" s="451">
        <v>1</v>
      </c>
      <c r="K31" s="451">
        <v>5</v>
      </c>
      <c r="L31" s="451">
        <v>2</v>
      </c>
      <c r="M31" s="451">
        <v>0</v>
      </c>
      <c r="N31" s="468">
        <v>0</v>
      </c>
      <c r="O31" s="505">
        <v>0</v>
      </c>
      <c r="P31" s="505">
        <v>0</v>
      </c>
      <c r="Q31" s="505">
        <v>0</v>
      </c>
      <c r="R31" s="505">
        <v>0</v>
      </c>
    </row>
    <row r="32" spans="1:18" x14ac:dyDescent="0.2">
      <c r="A32" s="450" t="s">
        <v>1435</v>
      </c>
      <c r="B32" s="218" t="s">
        <v>229</v>
      </c>
      <c r="C32" s="450" t="s">
        <v>68</v>
      </c>
      <c r="D32" s="450" t="s">
        <v>392</v>
      </c>
      <c r="E32" s="451">
        <f>F32+G32</f>
        <v>7</v>
      </c>
      <c r="F32" s="451">
        <v>5</v>
      </c>
      <c r="G32" s="451">
        <v>2</v>
      </c>
      <c r="H32" s="497">
        <f t="shared" si="4"/>
        <v>6.6037735849056603E-2</v>
      </c>
      <c r="I32" s="451">
        <v>5</v>
      </c>
      <c r="J32" s="451">
        <v>2</v>
      </c>
      <c r="K32" s="451">
        <v>6</v>
      </c>
      <c r="L32" s="451">
        <v>1</v>
      </c>
      <c r="M32" s="451">
        <v>0</v>
      </c>
      <c r="N32" s="468">
        <v>0</v>
      </c>
      <c r="O32" s="505">
        <v>0</v>
      </c>
      <c r="P32" s="505">
        <v>0</v>
      </c>
      <c r="Q32" s="505">
        <v>0</v>
      </c>
      <c r="R32" s="505">
        <v>0</v>
      </c>
    </row>
    <row r="33" spans="1:18" hidden="1" x14ac:dyDescent="0.2">
      <c r="A33" s="450"/>
      <c r="B33" s="218"/>
      <c r="C33" s="450"/>
      <c r="D33" s="450"/>
      <c r="E33" s="451"/>
      <c r="F33" s="451"/>
      <c r="G33" s="451"/>
      <c r="H33" s="497"/>
      <c r="I33" s="451"/>
      <c r="J33" s="451"/>
      <c r="K33" s="451"/>
      <c r="L33" s="451"/>
      <c r="M33" s="451"/>
      <c r="N33" s="468"/>
      <c r="O33" s="506"/>
      <c r="P33" s="506"/>
      <c r="Q33" s="506"/>
      <c r="R33" s="506"/>
    </row>
    <row r="34" spans="1:18" x14ac:dyDescent="0.2">
      <c r="A34" s="730" t="s">
        <v>229</v>
      </c>
      <c r="B34" s="731"/>
      <c r="C34" s="731"/>
      <c r="D34" s="731"/>
      <c r="E34" s="500">
        <f>SUM(E30:E33)</f>
        <v>17</v>
      </c>
      <c r="F34" s="500">
        <f>SUM(F30:F33)</f>
        <v>9</v>
      </c>
      <c r="G34" s="500">
        <f>SUM(G30:G33)</f>
        <v>8</v>
      </c>
      <c r="H34" s="501">
        <f t="shared" ref="H34:H48" si="7">E34/$E$48</f>
        <v>0.16037735849056603</v>
      </c>
      <c r="I34" s="500">
        <f t="shared" ref="I34:N34" si="8">SUM(I30:I33)</f>
        <v>14</v>
      </c>
      <c r="J34" s="500">
        <f t="shared" si="8"/>
        <v>3</v>
      </c>
      <c r="K34" s="500">
        <f t="shared" si="8"/>
        <v>12</v>
      </c>
      <c r="L34" s="500">
        <f t="shared" si="8"/>
        <v>5</v>
      </c>
      <c r="M34" s="500">
        <f t="shared" si="8"/>
        <v>0</v>
      </c>
      <c r="N34" s="500">
        <f t="shared" si="8"/>
        <v>0</v>
      </c>
      <c r="O34" s="508">
        <f t="shared" ref="O34:R34" si="9">SUM(O30:O33)</f>
        <v>0</v>
      </c>
      <c r="P34" s="508">
        <f t="shared" si="9"/>
        <v>0</v>
      </c>
      <c r="Q34" s="508">
        <f t="shared" si="9"/>
        <v>0</v>
      </c>
      <c r="R34" s="508">
        <f t="shared" si="9"/>
        <v>0</v>
      </c>
    </row>
    <row r="35" spans="1:18" hidden="1" x14ac:dyDescent="0.2">
      <c r="A35" s="450" t="s">
        <v>1435</v>
      </c>
      <c r="B35" s="450" t="s">
        <v>276</v>
      </c>
      <c r="C35" s="450" t="s">
        <v>68</v>
      </c>
      <c r="D35" s="450" t="s">
        <v>340</v>
      </c>
      <c r="E35" s="451">
        <f t="shared" ref="E35:E37" si="10">F35+G35</f>
        <v>0</v>
      </c>
      <c r="F35" s="451"/>
      <c r="G35" s="451"/>
      <c r="H35" s="497">
        <f t="shared" si="7"/>
        <v>0</v>
      </c>
      <c r="I35" s="451"/>
      <c r="J35" s="451"/>
      <c r="K35" s="451"/>
      <c r="L35" s="451"/>
      <c r="M35" s="451"/>
      <c r="N35" s="468"/>
      <c r="O35" s="506"/>
      <c r="P35" s="506"/>
      <c r="Q35" s="506"/>
      <c r="R35" s="506"/>
    </row>
    <row r="36" spans="1:18" hidden="1" x14ac:dyDescent="0.2">
      <c r="A36" s="730" t="s">
        <v>276</v>
      </c>
      <c r="B36" s="731"/>
      <c r="C36" s="731"/>
      <c r="D36" s="731"/>
      <c r="E36" s="500">
        <f>E35</f>
        <v>0</v>
      </c>
      <c r="F36" s="500">
        <f>F35</f>
        <v>0</v>
      </c>
      <c r="G36" s="500">
        <f>G35</f>
        <v>0</v>
      </c>
      <c r="H36" s="501">
        <f t="shared" si="7"/>
        <v>0</v>
      </c>
      <c r="I36" s="500">
        <f t="shared" ref="I36:R36" si="11">I35</f>
        <v>0</v>
      </c>
      <c r="J36" s="500">
        <f t="shared" si="11"/>
        <v>0</v>
      </c>
      <c r="K36" s="500">
        <f t="shared" si="11"/>
        <v>0</v>
      </c>
      <c r="L36" s="500">
        <f t="shared" si="11"/>
        <v>0</v>
      </c>
      <c r="M36" s="500">
        <f t="shared" si="11"/>
        <v>0</v>
      </c>
      <c r="N36" s="500">
        <f t="shared" si="11"/>
        <v>0</v>
      </c>
      <c r="O36" s="508">
        <f t="shared" si="11"/>
        <v>0</v>
      </c>
      <c r="P36" s="508">
        <f t="shared" si="11"/>
        <v>0</v>
      </c>
      <c r="Q36" s="508">
        <f t="shared" si="11"/>
        <v>0</v>
      </c>
      <c r="R36" s="508">
        <f t="shared" si="11"/>
        <v>0</v>
      </c>
    </row>
    <row r="37" spans="1:18" x14ac:dyDescent="0.2">
      <c r="A37" s="450" t="s">
        <v>1435</v>
      </c>
      <c r="B37" s="218" t="s">
        <v>233</v>
      </c>
      <c r="C37" s="450" t="s">
        <v>68</v>
      </c>
      <c r="D37" s="450" t="s">
        <v>397</v>
      </c>
      <c r="E37" s="451">
        <f t="shared" si="10"/>
        <v>11</v>
      </c>
      <c r="F37" s="451">
        <v>7</v>
      </c>
      <c r="G37" s="451">
        <v>4</v>
      </c>
      <c r="H37" s="497">
        <f t="shared" si="7"/>
        <v>0.10377358490566038</v>
      </c>
      <c r="I37" s="451">
        <v>10</v>
      </c>
      <c r="J37" s="451">
        <v>1</v>
      </c>
      <c r="K37" s="451">
        <v>3</v>
      </c>
      <c r="L37" s="451">
        <v>7</v>
      </c>
      <c r="M37" s="451">
        <v>0</v>
      </c>
      <c r="N37" s="468">
        <v>0</v>
      </c>
      <c r="O37" s="505">
        <v>0</v>
      </c>
      <c r="P37" s="505">
        <v>1</v>
      </c>
      <c r="Q37" s="505">
        <v>0</v>
      </c>
      <c r="R37" s="505">
        <v>0</v>
      </c>
    </row>
    <row r="38" spans="1:18" hidden="1" x14ac:dyDescent="0.2">
      <c r="A38" s="450"/>
      <c r="B38" s="218" t="s">
        <v>233</v>
      </c>
      <c r="C38" s="450" t="s">
        <v>68</v>
      </c>
      <c r="D38" s="450"/>
      <c r="E38" s="451"/>
      <c r="F38" s="451"/>
      <c r="G38" s="451"/>
      <c r="H38" s="497">
        <f t="shared" si="7"/>
        <v>0</v>
      </c>
      <c r="I38" s="451"/>
      <c r="J38" s="451"/>
      <c r="K38" s="451"/>
      <c r="L38" s="451"/>
      <c r="M38" s="451"/>
      <c r="N38" s="451"/>
    </row>
    <row r="39" spans="1:18" hidden="1" x14ac:dyDescent="0.2">
      <c r="A39" s="450"/>
      <c r="B39" s="218" t="s">
        <v>233</v>
      </c>
      <c r="C39" s="450" t="s">
        <v>68</v>
      </c>
      <c r="D39" s="502"/>
      <c r="E39" s="499"/>
      <c r="F39" s="499"/>
      <c r="G39" s="499"/>
      <c r="H39" s="497">
        <f t="shared" si="7"/>
        <v>0</v>
      </c>
      <c r="I39" s="499"/>
      <c r="J39" s="499"/>
      <c r="K39" s="499"/>
      <c r="L39" s="499"/>
      <c r="M39" s="499"/>
      <c r="N39" s="499"/>
    </row>
    <row r="40" spans="1:18" hidden="1" x14ac:dyDescent="0.2">
      <c r="A40" s="553"/>
      <c r="B40" s="323" t="s">
        <v>233</v>
      </c>
      <c r="C40" s="553" t="s">
        <v>68</v>
      </c>
      <c r="D40" s="554"/>
      <c r="E40" s="555"/>
      <c r="F40" s="555"/>
      <c r="G40" s="555"/>
      <c r="H40" s="556">
        <f t="shared" si="7"/>
        <v>0</v>
      </c>
      <c r="I40" s="555"/>
      <c r="J40" s="555"/>
      <c r="K40" s="555"/>
      <c r="L40" s="555"/>
      <c r="M40" s="555"/>
      <c r="N40" s="555"/>
    </row>
    <row r="41" spans="1:18" x14ac:dyDescent="0.2">
      <c r="A41" s="737" t="s">
        <v>233</v>
      </c>
      <c r="B41" s="738"/>
      <c r="C41" s="738"/>
      <c r="D41" s="738"/>
      <c r="E41" s="559">
        <f>SUM(E37:E40)</f>
        <v>11</v>
      </c>
      <c r="F41" s="559">
        <f>SUM(F37:F40)</f>
        <v>7</v>
      </c>
      <c r="G41" s="559">
        <f>SUM(G37:G40)</f>
        <v>4</v>
      </c>
      <c r="H41" s="560">
        <f t="shared" si="7"/>
        <v>0.10377358490566038</v>
      </c>
      <c r="I41" s="559">
        <f t="shared" ref="I41:N41" si="12">SUM(I37:I40)</f>
        <v>10</v>
      </c>
      <c r="J41" s="559">
        <f t="shared" si="12"/>
        <v>1</v>
      </c>
      <c r="K41" s="559">
        <f t="shared" si="12"/>
        <v>3</v>
      </c>
      <c r="L41" s="559">
        <f t="shared" si="12"/>
        <v>7</v>
      </c>
      <c r="M41" s="559">
        <f t="shared" si="12"/>
        <v>0</v>
      </c>
      <c r="N41" s="559">
        <f t="shared" si="12"/>
        <v>0</v>
      </c>
      <c r="O41" s="559">
        <f t="shared" ref="O41:R41" si="13">SUM(O37:O40)</f>
        <v>0</v>
      </c>
      <c r="P41" s="559">
        <f t="shared" si="13"/>
        <v>1</v>
      </c>
      <c r="Q41" s="559">
        <f t="shared" si="13"/>
        <v>0</v>
      </c>
      <c r="R41" s="559">
        <f t="shared" si="13"/>
        <v>0</v>
      </c>
    </row>
    <row r="42" spans="1:18" x14ac:dyDescent="0.2">
      <c r="A42" s="557" t="s">
        <v>1435</v>
      </c>
      <c r="B42" s="328" t="s">
        <v>324</v>
      </c>
      <c r="C42" s="557" t="s">
        <v>68</v>
      </c>
      <c r="D42" s="557" t="s">
        <v>293</v>
      </c>
      <c r="E42" s="480">
        <f t="shared" ref="E42:E44" si="14">F42+G42</f>
        <v>1</v>
      </c>
      <c r="F42" s="480">
        <v>1</v>
      </c>
      <c r="G42" s="480">
        <v>0</v>
      </c>
      <c r="H42" s="558">
        <f t="shared" si="7"/>
        <v>9.433962264150943E-3</v>
      </c>
      <c r="I42" s="480">
        <v>0</v>
      </c>
      <c r="J42" s="480">
        <v>1</v>
      </c>
      <c r="K42" s="480">
        <v>0</v>
      </c>
      <c r="L42" s="480">
        <v>1</v>
      </c>
      <c r="M42" s="480">
        <v>0</v>
      </c>
      <c r="N42" s="561">
        <v>0</v>
      </c>
      <c r="O42" s="562">
        <v>0</v>
      </c>
      <c r="P42" s="562">
        <v>0</v>
      </c>
      <c r="Q42" s="562">
        <v>0</v>
      </c>
      <c r="R42" s="562">
        <v>0</v>
      </c>
    </row>
    <row r="43" spans="1:18" x14ac:dyDescent="0.2">
      <c r="A43" s="450" t="s">
        <v>1435</v>
      </c>
      <c r="B43" s="218" t="s">
        <v>324</v>
      </c>
      <c r="C43" s="450" t="s">
        <v>68</v>
      </c>
      <c r="D43" s="450" t="s">
        <v>404</v>
      </c>
      <c r="E43" s="451">
        <f t="shared" si="14"/>
        <v>1</v>
      </c>
      <c r="F43" s="451">
        <v>1</v>
      </c>
      <c r="G43" s="451">
        <v>0</v>
      </c>
      <c r="H43" s="497">
        <f t="shared" si="7"/>
        <v>9.433962264150943E-3</v>
      </c>
      <c r="I43" s="451">
        <v>0</v>
      </c>
      <c r="J43" s="451">
        <v>1</v>
      </c>
      <c r="K43" s="451">
        <v>0</v>
      </c>
      <c r="L43" s="451">
        <v>0</v>
      </c>
      <c r="M43" s="451">
        <v>0</v>
      </c>
      <c r="N43" s="468">
        <v>1</v>
      </c>
      <c r="O43" s="505">
        <v>0</v>
      </c>
      <c r="P43" s="505">
        <v>0</v>
      </c>
      <c r="Q43" s="505">
        <v>0</v>
      </c>
      <c r="R43" s="505">
        <v>0</v>
      </c>
    </row>
    <row r="44" spans="1:18" x14ac:dyDescent="0.2">
      <c r="A44" s="450" t="s">
        <v>1435</v>
      </c>
      <c r="B44" s="218" t="s">
        <v>324</v>
      </c>
      <c r="C44" s="450" t="s">
        <v>68</v>
      </c>
      <c r="D44" s="450" t="s">
        <v>405</v>
      </c>
      <c r="E44" s="451">
        <f t="shared" si="14"/>
        <v>2</v>
      </c>
      <c r="F44" s="451">
        <v>2</v>
      </c>
      <c r="G44" s="451">
        <v>0</v>
      </c>
      <c r="H44" s="497">
        <f t="shared" si="7"/>
        <v>1.8867924528301886E-2</v>
      </c>
      <c r="I44" s="451">
        <v>2</v>
      </c>
      <c r="J44" s="451">
        <v>0</v>
      </c>
      <c r="K44" s="451">
        <v>2</v>
      </c>
      <c r="L44" s="451">
        <v>0</v>
      </c>
      <c r="M44" s="451">
        <v>0</v>
      </c>
      <c r="N44" s="468">
        <v>0</v>
      </c>
      <c r="O44" s="505">
        <v>0</v>
      </c>
      <c r="P44" s="505">
        <v>0</v>
      </c>
      <c r="Q44" s="505">
        <v>0</v>
      </c>
      <c r="R44" s="505">
        <v>0</v>
      </c>
    </row>
    <row r="45" spans="1:18" x14ac:dyDescent="0.2">
      <c r="A45" s="730" t="s">
        <v>324</v>
      </c>
      <c r="B45" s="731"/>
      <c r="C45" s="731"/>
      <c r="D45" s="731"/>
      <c r="E45" s="500">
        <f>SUM(E42:E44)</f>
        <v>4</v>
      </c>
      <c r="F45" s="500">
        <f t="shared" ref="F45:G45" si="15">SUM(F42:F44)</f>
        <v>4</v>
      </c>
      <c r="G45" s="500">
        <f t="shared" si="15"/>
        <v>0</v>
      </c>
      <c r="H45" s="501">
        <f t="shared" si="7"/>
        <v>3.7735849056603772E-2</v>
      </c>
      <c r="I45" s="500">
        <f>SUM(I42:I44)</f>
        <v>2</v>
      </c>
      <c r="J45" s="500">
        <f t="shared" ref="J45:N45" si="16">SUM(J42:J44)</f>
        <v>2</v>
      </c>
      <c r="K45" s="500">
        <f t="shared" si="16"/>
        <v>2</v>
      </c>
      <c r="L45" s="500">
        <f t="shared" si="16"/>
        <v>1</v>
      </c>
      <c r="M45" s="500">
        <f t="shared" si="16"/>
        <v>0</v>
      </c>
      <c r="N45" s="500">
        <f t="shared" si="16"/>
        <v>1</v>
      </c>
      <c r="O45" s="510">
        <f t="shared" ref="O45:R45" si="17">SUM(O42:O44)</f>
        <v>0</v>
      </c>
      <c r="P45" s="510">
        <f t="shared" si="17"/>
        <v>0</v>
      </c>
      <c r="Q45" s="510">
        <f t="shared" si="17"/>
        <v>0</v>
      </c>
      <c r="R45" s="510">
        <f t="shared" si="17"/>
        <v>0</v>
      </c>
    </row>
    <row r="46" spans="1:18" x14ac:dyDescent="0.2">
      <c r="A46" s="739" t="s">
        <v>237</v>
      </c>
      <c r="B46" s="740"/>
      <c r="C46" s="740"/>
      <c r="D46" s="740"/>
      <c r="E46" s="462">
        <f>E20+E29+E34+E36+E45+E41</f>
        <v>106</v>
      </c>
      <c r="F46" s="462">
        <f>F20+F29+F34+F36+F45+F41</f>
        <v>65</v>
      </c>
      <c r="G46" s="462">
        <f>G20+G29+G34+G36+G45+G41</f>
        <v>41</v>
      </c>
      <c r="H46" s="503">
        <f t="shared" si="7"/>
        <v>1</v>
      </c>
      <c r="I46" s="462">
        <f t="shared" ref="I46:N46" si="18">I20+I29+I34+I36+I45+I41</f>
        <v>84</v>
      </c>
      <c r="J46" s="462">
        <f t="shared" si="18"/>
        <v>22</v>
      </c>
      <c r="K46" s="462">
        <f t="shared" si="18"/>
        <v>44</v>
      </c>
      <c r="L46" s="462">
        <f t="shared" si="18"/>
        <v>55</v>
      </c>
      <c r="M46" s="462">
        <f t="shared" si="18"/>
        <v>1</v>
      </c>
      <c r="N46" s="462">
        <f t="shared" si="18"/>
        <v>3</v>
      </c>
      <c r="O46" s="462">
        <f t="shared" ref="O46:R46" si="19">O20+O29+O34+O36+O45+O41</f>
        <v>0</v>
      </c>
      <c r="P46" s="462">
        <f t="shared" si="19"/>
        <v>3</v>
      </c>
      <c r="Q46" s="462">
        <f t="shared" si="19"/>
        <v>0</v>
      </c>
      <c r="R46" s="462">
        <f t="shared" si="19"/>
        <v>0</v>
      </c>
    </row>
    <row r="47" spans="1:18" x14ac:dyDescent="0.2">
      <c r="A47" s="739" t="s">
        <v>238</v>
      </c>
      <c r="B47" s="739"/>
      <c r="C47" s="739"/>
      <c r="D47" s="739"/>
      <c r="E47" s="462">
        <v>0</v>
      </c>
      <c r="F47" s="462">
        <v>0</v>
      </c>
      <c r="G47" s="462">
        <v>0</v>
      </c>
      <c r="H47" s="503">
        <f t="shared" si="7"/>
        <v>0</v>
      </c>
      <c r="I47" s="462">
        <v>0</v>
      </c>
      <c r="J47" s="462">
        <v>0</v>
      </c>
      <c r="K47" s="462">
        <v>0</v>
      </c>
      <c r="L47" s="462">
        <v>0</v>
      </c>
      <c r="M47" s="462">
        <v>0</v>
      </c>
      <c r="N47" s="462">
        <v>0</v>
      </c>
      <c r="O47" s="462">
        <v>0</v>
      </c>
      <c r="P47" s="462">
        <v>0</v>
      </c>
      <c r="Q47" s="462">
        <v>0</v>
      </c>
      <c r="R47" s="462">
        <v>0</v>
      </c>
    </row>
    <row r="48" spans="1:18" x14ac:dyDescent="0.2">
      <c r="A48" s="741" t="s">
        <v>239</v>
      </c>
      <c r="B48" s="741"/>
      <c r="C48" s="741"/>
      <c r="D48" s="741"/>
      <c r="E48" s="464">
        <f>E46+E47</f>
        <v>106</v>
      </c>
      <c r="F48" s="464">
        <f>F46+F47</f>
        <v>65</v>
      </c>
      <c r="G48" s="464">
        <f>G46+G47</f>
        <v>41</v>
      </c>
      <c r="H48" s="503">
        <f t="shared" si="7"/>
        <v>1</v>
      </c>
      <c r="I48" s="464">
        <f>I46+I47</f>
        <v>84</v>
      </c>
      <c r="J48" s="464">
        <f t="shared" ref="J48:N48" si="20">J46+J47</f>
        <v>22</v>
      </c>
      <c r="K48" s="464">
        <f t="shared" si="20"/>
        <v>44</v>
      </c>
      <c r="L48" s="464">
        <f t="shared" si="20"/>
        <v>55</v>
      </c>
      <c r="M48" s="464">
        <f t="shared" si="20"/>
        <v>1</v>
      </c>
      <c r="N48" s="464">
        <f t="shared" si="20"/>
        <v>3</v>
      </c>
      <c r="O48" s="464">
        <f t="shared" ref="O48:R48" si="21">O46+O47</f>
        <v>0</v>
      </c>
      <c r="P48" s="464">
        <f t="shared" si="21"/>
        <v>3</v>
      </c>
      <c r="Q48" s="464">
        <f t="shared" si="21"/>
        <v>0</v>
      </c>
      <c r="R48" s="464">
        <f t="shared" si="21"/>
        <v>0</v>
      </c>
    </row>
    <row r="49" spans="6:18" x14ac:dyDescent="0.2">
      <c r="F49" s="274">
        <f>F48/$E$48</f>
        <v>0.6132075471698113</v>
      </c>
      <c r="G49" s="274">
        <f t="shared" ref="G49:N49" si="22">G48/$E$48</f>
        <v>0.3867924528301887</v>
      </c>
      <c r="H49" s="274"/>
      <c r="I49" s="274">
        <f>I48/$E$48</f>
        <v>0.79245283018867929</v>
      </c>
      <c r="J49" s="274">
        <f t="shared" si="22"/>
        <v>0.20754716981132076</v>
      </c>
      <c r="K49" s="274">
        <f t="shared" si="22"/>
        <v>0.41509433962264153</v>
      </c>
      <c r="L49" s="274">
        <f>L48/$E$48</f>
        <v>0.51886792452830188</v>
      </c>
      <c r="M49" s="274">
        <f t="shared" si="22"/>
        <v>9.433962264150943E-3</v>
      </c>
      <c r="N49" s="274">
        <f t="shared" si="22"/>
        <v>2.8301886792452831E-2</v>
      </c>
      <c r="O49" s="274">
        <f t="shared" ref="O49:R49" si="23">O48/$E$48</f>
        <v>0</v>
      </c>
      <c r="P49" s="274">
        <f t="shared" si="23"/>
        <v>2.8301886792452831E-2</v>
      </c>
      <c r="Q49" s="274">
        <f t="shared" si="23"/>
        <v>0</v>
      </c>
      <c r="R49" s="274">
        <f t="shared" si="23"/>
        <v>0</v>
      </c>
    </row>
  </sheetData>
  <mergeCells count="19">
    <mergeCell ref="A5:N5"/>
    <mergeCell ref="A6:A7"/>
    <mergeCell ref="B6:B7"/>
    <mergeCell ref="C6:C7"/>
    <mergeCell ref="D6:D7"/>
    <mergeCell ref="E6:E7"/>
    <mergeCell ref="F6:G6"/>
    <mergeCell ref="H6:H7"/>
    <mergeCell ref="I6:J6"/>
    <mergeCell ref="A46:D46"/>
    <mergeCell ref="A47:D47"/>
    <mergeCell ref="A48:D48"/>
    <mergeCell ref="K6:R6"/>
    <mergeCell ref="A20:D20"/>
    <mergeCell ref="A29:D29"/>
    <mergeCell ref="A34:D34"/>
    <mergeCell ref="A36:D36"/>
    <mergeCell ref="A41:D41"/>
    <mergeCell ref="A45:D45"/>
  </mergeCells>
  <hyperlinks>
    <hyperlink ref="J1" location="'Table of Contents'!A1" display="Back to Table Of Contents" xr:uid="{B88AA8A9-216C-49AD-8D3B-8E2465DA8E3C}"/>
  </hyperlinks>
  <pageMargins left="0.5" right="0.5" top="0.5" bottom="0.5" header="0.5" footer="0.25"/>
  <pageSetup scale="85" orientation="landscape" r:id="rId1"/>
  <headerFooter alignWithMargins="0">
    <oddHeader>&amp;ROctober 2022</oddHeader>
    <oddFooter>&amp;CPage &amp;P of &amp;N&amp;R&amp;8&amp;F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30CAE-60ED-4EAB-B147-123DE88D8056}">
  <sheetPr codeName="Sheet16">
    <tabColor theme="6"/>
  </sheetPr>
  <dimension ref="A1:H98"/>
  <sheetViews>
    <sheetView zoomScaleNormal="100" zoomScalePageLayoutView="90" workbookViewId="0">
      <selection activeCell="D48" sqref="D48"/>
    </sheetView>
  </sheetViews>
  <sheetFormatPr defaultColWidth="8.85546875" defaultRowHeight="12.75" x14ac:dyDescent="0.2"/>
  <cols>
    <col min="1" max="1" width="15.140625" style="45" customWidth="1"/>
    <col min="2" max="2" width="27.5703125" style="45" customWidth="1"/>
    <col min="3" max="3" width="12" style="279" customWidth="1"/>
    <col min="4" max="4" width="15.85546875" style="279" customWidth="1"/>
    <col min="5" max="5" width="16.28515625" style="228" customWidth="1"/>
    <col min="6" max="16384" width="8.85546875" style="45"/>
  </cols>
  <sheetData>
    <row r="1" spans="1:8" ht="18.75" x14ac:dyDescent="0.3">
      <c r="B1" s="288"/>
    </row>
    <row r="2" spans="1:8" ht="15.75" x14ac:dyDescent="0.25">
      <c r="B2" s="287"/>
      <c r="D2" s="132" t="s">
        <v>98</v>
      </c>
      <c r="E2" s="132"/>
    </row>
    <row r="3" spans="1:8" x14ac:dyDescent="0.2">
      <c r="B3" s="286"/>
    </row>
    <row r="4" spans="1:8" x14ac:dyDescent="0.2">
      <c r="B4" s="286"/>
    </row>
    <row r="5" spans="1:8" ht="14.25" customHeight="1" x14ac:dyDescent="0.25">
      <c r="A5" s="749" t="s">
        <v>697</v>
      </c>
      <c r="B5" s="749"/>
      <c r="C5" s="749"/>
      <c r="D5" s="749"/>
      <c r="E5" s="749"/>
    </row>
    <row r="6" spans="1:8" ht="14.25" customHeight="1" x14ac:dyDescent="0.25">
      <c r="A6" s="750" t="s">
        <v>317</v>
      </c>
      <c r="B6" s="750"/>
      <c r="C6" s="750"/>
      <c r="D6" s="750"/>
      <c r="E6" s="750"/>
      <c r="H6" s="279"/>
    </row>
    <row r="7" spans="1:8" ht="15" customHeight="1" x14ac:dyDescent="0.2">
      <c r="A7" s="743" t="s">
        <v>327</v>
      </c>
      <c r="B7" s="743" t="s">
        <v>325</v>
      </c>
      <c r="C7" s="743" t="s">
        <v>698</v>
      </c>
      <c r="D7" s="743" t="s">
        <v>1661</v>
      </c>
      <c r="E7" s="743" t="s">
        <v>1662</v>
      </c>
    </row>
    <row r="8" spans="1:8" x14ac:dyDescent="0.2">
      <c r="A8" s="744"/>
      <c r="B8" s="744"/>
      <c r="C8" s="744"/>
      <c r="D8" s="744"/>
      <c r="E8" s="744"/>
    </row>
    <row r="9" spans="1:8" ht="13.9" customHeight="1" x14ac:dyDescent="0.2">
      <c r="A9" s="318">
        <v>2021</v>
      </c>
      <c r="B9" s="282" t="s">
        <v>81</v>
      </c>
      <c r="C9" s="281">
        <v>226</v>
      </c>
      <c r="D9" s="281">
        <v>174</v>
      </c>
      <c r="E9" s="280">
        <f>D9/C9</f>
        <v>0.76991150442477874</v>
      </c>
    </row>
    <row r="10" spans="1:8" ht="13.9" customHeight="1" x14ac:dyDescent="0.2">
      <c r="A10" s="318">
        <v>2021</v>
      </c>
      <c r="B10" s="282" t="s">
        <v>82</v>
      </c>
      <c r="C10" s="281">
        <v>173</v>
      </c>
      <c r="D10" s="281">
        <v>128</v>
      </c>
      <c r="E10" s="280">
        <f>D10/C10</f>
        <v>0.73988439306358378</v>
      </c>
    </row>
    <row r="11" spans="1:8" ht="13.9" customHeight="1" x14ac:dyDescent="0.2">
      <c r="A11" s="745" t="s">
        <v>239</v>
      </c>
      <c r="B11" s="746"/>
      <c r="C11" s="263">
        <f>C10+C9</f>
        <v>399</v>
      </c>
      <c r="D11" s="263">
        <f>D10+D9</f>
        <v>302</v>
      </c>
      <c r="E11" s="264">
        <f>D11/C11</f>
        <v>0.75689223057644106</v>
      </c>
    </row>
    <row r="12" spans="1:8" ht="13.9" customHeight="1" x14ac:dyDescent="0.2">
      <c r="C12" s="45"/>
      <c r="D12" s="45"/>
      <c r="E12" s="45"/>
    </row>
    <row r="13" spans="1:8" ht="13.9" customHeight="1" x14ac:dyDescent="0.2">
      <c r="A13" s="743" t="s">
        <v>327</v>
      </c>
      <c r="B13" s="743" t="s">
        <v>326</v>
      </c>
      <c r="C13" s="747" t="s">
        <v>304</v>
      </c>
      <c r="D13" s="743" t="str">
        <f>D7</f>
        <v># Continued to 2022  Fanuchånan</v>
      </c>
      <c r="E13" s="743" t="str">
        <f>E7</f>
        <v>% Continued to 2022   Fanuchånan</v>
      </c>
    </row>
    <row r="14" spans="1:8" ht="13.9" customHeight="1" x14ac:dyDescent="0.2">
      <c r="A14" s="744"/>
      <c r="B14" s="744"/>
      <c r="C14" s="748"/>
      <c r="D14" s="744"/>
      <c r="E14" s="744"/>
    </row>
    <row r="15" spans="1:8" ht="13.9" customHeight="1" x14ac:dyDescent="0.2">
      <c r="A15" s="318">
        <v>2021</v>
      </c>
      <c r="B15" s="282" t="s">
        <v>277</v>
      </c>
      <c r="C15" s="281">
        <v>3</v>
      </c>
      <c r="D15" s="281">
        <v>3</v>
      </c>
      <c r="E15" s="280">
        <f t="shared" ref="E15:E22" si="0">D15/C15</f>
        <v>1</v>
      </c>
    </row>
    <row r="16" spans="1:8" ht="13.9" customHeight="1" x14ac:dyDescent="0.2">
      <c r="A16" s="318">
        <v>2021</v>
      </c>
      <c r="B16" s="282" t="s">
        <v>305</v>
      </c>
      <c r="C16" s="281">
        <v>204</v>
      </c>
      <c r="D16" s="281">
        <v>171</v>
      </c>
      <c r="E16" s="280">
        <f t="shared" si="0"/>
        <v>0.83823529411764708</v>
      </c>
    </row>
    <row r="17" spans="1:5" ht="13.9" customHeight="1" x14ac:dyDescent="0.2">
      <c r="A17" s="318">
        <v>2021</v>
      </c>
      <c r="B17" s="282" t="s">
        <v>318</v>
      </c>
      <c r="C17" s="281">
        <v>1</v>
      </c>
      <c r="D17" s="281">
        <v>0</v>
      </c>
      <c r="E17" s="280">
        <f t="shared" si="0"/>
        <v>0</v>
      </c>
    </row>
    <row r="18" spans="1:5" ht="12.75" customHeight="1" x14ac:dyDescent="0.2">
      <c r="A18" s="318">
        <v>2021</v>
      </c>
      <c r="B18" s="282" t="s">
        <v>300</v>
      </c>
      <c r="C18" s="281">
        <v>4</v>
      </c>
      <c r="D18" s="281">
        <v>3</v>
      </c>
      <c r="E18" s="280">
        <f t="shared" si="0"/>
        <v>0.75</v>
      </c>
    </row>
    <row r="19" spans="1:5" ht="13.9" customHeight="1" x14ac:dyDescent="0.2">
      <c r="A19" s="318">
        <v>2021</v>
      </c>
      <c r="B19" s="282" t="s">
        <v>301</v>
      </c>
      <c r="C19" s="281">
        <v>1</v>
      </c>
      <c r="D19" s="281">
        <v>1</v>
      </c>
      <c r="E19" s="280">
        <f t="shared" si="0"/>
        <v>1</v>
      </c>
    </row>
    <row r="20" spans="1:5" ht="13.9" customHeight="1" x14ac:dyDescent="0.2">
      <c r="A20" s="318">
        <v>2021</v>
      </c>
      <c r="B20" s="282" t="s">
        <v>306</v>
      </c>
      <c r="C20" s="281">
        <v>176</v>
      </c>
      <c r="D20" s="281">
        <v>119</v>
      </c>
      <c r="E20" s="280">
        <f t="shared" si="0"/>
        <v>0.67613636363636365</v>
      </c>
    </row>
    <row r="21" spans="1:5" ht="13.9" customHeight="1" x14ac:dyDescent="0.2">
      <c r="A21" s="318">
        <v>2021</v>
      </c>
      <c r="B21" s="282" t="s">
        <v>319</v>
      </c>
      <c r="C21" s="281">
        <v>5</v>
      </c>
      <c r="D21" s="281">
        <v>2</v>
      </c>
      <c r="E21" s="280">
        <f t="shared" ref="E21" si="1">D21/C21</f>
        <v>0.4</v>
      </c>
    </row>
    <row r="22" spans="1:5" ht="13.9" customHeight="1" x14ac:dyDescent="0.2">
      <c r="A22" s="318">
        <v>2021</v>
      </c>
      <c r="B22" s="282" t="s">
        <v>679</v>
      </c>
      <c r="C22" s="281">
        <v>5</v>
      </c>
      <c r="D22" s="281">
        <v>3</v>
      </c>
      <c r="E22" s="280">
        <f t="shared" si="0"/>
        <v>0.6</v>
      </c>
    </row>
    <row r="23" spans="1:5" ht="13.9" customHeight="1" x14ac:dyDescent="0.2">
      <c r="A23" s="745" t="s">
        <v>239</v>
      </c>
      <c r="B23" s="746"/>
      <c r="C23" s="263">
        <f>SUM(C15:C22)</f>
        <v>399</v>
      </c>
      <c r="D23" s="263">
        <f>SUM(D15:D22)</f>
        <v>302</v>
      </c>
      <c r="E23" s="264">
        <f>D23/C23</f>
        <v>0.75689223057644106</v>
      </c>
    </row>
    <row r="24" spans="1:5" ht="13.9" customHeight="1" x14ac:dyDescent="0.2">
      <c r="C24" s="45"/>
      <c r="D24" s="45"/>
      <c r="E24" s="45"/>
    </row>
    <row r="25" spans="1:5" ht="13.9" customHeight="1" x14ac:dyDescent="0.2">
      <c r="A25" s="743" t="s">
        <v>327</v>
      </c>
      <c r="B25" s="747" t="s">
        <v>308</v>
      </c>
      <c r="C25" s="747" t="s">
        <v>304</v>
      </c>
      <c r="D25" s="743" t="str">
        <f>D7</f>
        <v># Continued to 2022  Fanuchånan</v>
      </c>
      <c r="E25" s="743" t="str">
        <f>E7</f>
        <v>% Continued to 2022   Fanuchånan</v>
      </c>
    </row>
    <row r="26" spans="1:5" ht="13.9" customHeight="1" x14ac:dyDescent="0.2">
      <c r="A26" s="744"/>
      <c r="B26" s="748"/>
      <c r="C26" s="748"/>
      <c r="D26" s="744"/>
      <c r="E26" s="744"/>
    </row>
    <row r="27" spans="1:5" ht="13.9" customHeight="1" x14ac:dyDescent="0.2">
      <c r="A27" s="319">
        <v>2021</v>
      </c>
      <c r="B27" s="282" t="s">
        <v>277</v>
      </c>
      <c r="C27" s="281">
        <v>3</v>
      </c>
      <c r="D27" s="281">
        <v>3</v>
      </c>
      <c r="E27" s="280">
        <f t="shared" ref="E27:E48" si="2">D27/C27</f>
        <v>1</v>
      </c>
    </row>
    <row r="28" spans="1:5" x14ac:dyDescent="0.2">
      <c r="A28" s="318">
        <v>2021</v>
      </c>
      <c r="B28" s="282" t="s">
        <v>675</v>
      </c>
      <c r="C28" s="281">
        <v>1</v>
      </c>
      <c r="D28" s="281">
        <v>1</v>
      </c>
      <c r="E28" s="280">
        <f t="shared" si="2"/>
        <v>1</v>
      </c>
    </row>
    <row r="29" spans="1:5" x14ac:dyDescent="0.2">
      <c r="A29" s="318">
        <v>2021</v>
      </c>
      <c r="B29" s="282" t="s">
        <v>443</v>
      </c>
      <c r="C29" s="281">
        <v>4</v>
      </c>
      <c r="D29" s="281">
        <v>4</v>
      </c>
      <c r="E29" s="280">
        <f t="shared" si="2"/>
        <v>1</v>
      </c>
    </row>
    <row r="30" spans="1:5" ht="12.75" customHeight="1" x14ac:dyDescent="0.2">
      <c r="A30" s="318">
        <v>2021</v>
      </c>
      <c r="B30" s="282" t="s">
        <v>444</v>
      </c>
      <c r="C30" s="281">
        <v>182</v>
      </c>
      <c r="D30" s="281">
        <v>152</v>
      </c>
      <c r="E30" s="280">
        <f t="shared" si="2"/>
        <v>0.8351648351648352</v>
      </c>
    </row>
    <row r="31" spans="1:5" x14ac:dyDescent="0.2">
      <c r="A31" s="318">
        <v>2021</v>
      </c>
      <c r="B31" s="282" t="s">
        <v>446</v>
      </c>
      <c r="C31" s="281">
        <v>5</v>
      </c>
      <c r="D31" s="281">
        <v>5</v>
      </c>
      <c r="E31" s="280">
        <f t="shared" si="2"/>
        <v>1</v>
      </c>
    </row>
    <row r="32" spans="1:5" x14ac:dyDescent="0.2">
      <c r="A32" s="318">
        <v>2021</v>
      </c>
      <c r="B32" s="282" t="s">
        <v>447</v>
      </c>
      <c r="C32" s="281">
        <v>9</v>
      </c>
      <c r="D32" s="281">
        <v>6</v>
      </c>
      <c r="E32" s="280">
        <f t="shared" si="2"/>
        <v>0.66666666666666663</v>
      </c>
    </row>
    <row r="33" spans="1:5" x14ac:dyDescent="0.2">
      <c r="A33" s="318">
        <v>2021</v>
      </c>
      <c r="B33" s="282" t="s">
        <v>448</v>
      </c>
      <c r="C33" s="281">
        <v>1</v>
      </c>
      <c r="D33" s="281">
        <v>1</v>
      </c>
      <c r="E33" s="280">
        <f t="shared" si="2"/>
        <v>1</v>
      </c>
    </row>
    <row r="34" spans="1:5" x14ac:dyDescent="0.2">
      <c r="A34" s="318">
        <v>2021</v>
      </c>
      <c r="B34" s="282" t="s">
        <v>450</v>
      </c>
      <c r="C34" s="281">
        <v>2</v>
      </c>
      <c r="D34" s="281">
        <v>2</v>
      </c>
      <c r="E34" s="280">
        <f t="shared" si="2"/>
        <v>1</v>
      </c>
    </row>
    <row r="35" spans="1:5" ht="12.75" customHeight="1" x14ac:dyDescent="0.2">
      <c r="A35" s="318">
        <v>2021</v>
      </c>
      <c r="B35" s="282" t="s">
        <v>676</v>
      </c>
      <c r="C35" s="281">
        <v>1</v>
      </c>
      <c r="D35" s="281">
        <v>0</v>
      </c>
      <c r="E35" s="280">
        <f t="shared" si="2"/>
        <v>0</v>
      </c>
    </row>
    <row r="36" spans="1:5" x14ac:dyDescent="0.2">
      <c r="A36" s="318">
        <v>2021</v>
      </c>
      <c r="B36" s="282" t="s">
        <v>451</v>
      </c>
      <c r="C36" s="281">
        <v>3</v>
      </c>
      <c r="D36" s="281">
        <v>2</v>
      </c>
      <c r="E36" s="280">
        <f t="shared" si="2"/>
        <v>0.66666666666666663</v>
      </c>
    </row>
    <row r="37" spans="1:5" x14ac:dyDescent="0.2">
      <c r="A37" s="318">
        <v>2021</v>
      </c>
      <c r="B37" s="282" t="s">
        <v>452</v>
      </c>
      <c r="C37" s="281">
        <v>124</v>
      </c>
      <c r="D37" s="281">
        <v>84</v>
      </c>
      <c r="E37" s="280">
        <f t="shared" si="2"/>
        <v>0.67741935483870963</v>
      </c>
    </row>
    <row r="38" spans="1:5" x14ac:dyDescent="0.2">
      <c r="A38" s="318">
        <v>2021</v>
      </c>
      <c r="B38" s="282" t="s">
        <v>300</v>
      </c>
      <c r="C38" s="281">
        <v>4</v>
      </c>
      <c r="D38" s="281">
        <v>3</v>
      </c>
      <c r="E38" s="280">
        <f t="shared" si="2"/>
        <v>0.75</v>
      </c>
    </row>
    <row r="39" spans="1:5" x14ac:dyDescent="0.2">
      <c r="A39" s="318">
        <v>2021</v>
      </c>
      <c r="B39" s="282" t="s">
        <v>678</v>
      </c>
      <c r="C39" s="281">
        <v>1</v>
      </c>
      <c r="D39" s="281">
        <v>0</v>
      </c>
      <c r="E39" s="280">
        <f t="shared" si="2"/>
        <v>0</v>
      </c>
    </row>
    <row r="40" spans="1:5" x14ac:dyDescent="0.2">
      <c r="A40" s="318">
        <v>2021</v>
      </c>
      <c r="B40" s="282" t="s">
        <v>453</v>
      </c>
      <c r="C40" s="281">
        <v>15</v>
      </c>
      <c r="D40" s="281">
        <v>10</v>
      </c>
      <c r="E40" s="280">
        <f t="shared" si="2"/>
        <v>0.66666666666666663</v>
      </c>
    </row>
    <row r="41" spans="1:5" x14ac:dyDescent="0.2">
      <c r="A41" s="318">
        <v>2021</v>
      </c>
      <c r="B41" s="282" t="s">
        <v>454</v>
      </c>
      <c r="C41" s="281">
        <v>1</v>
      </c>
      <c r="D41" s="281">
        <v>0</v>
      </c>
      <c r="E41" s="280">
        <f t="shared" si="2"/>
        <v>0</v>
      </c>
    </row>
    <row r="42" spans="1:5" x14ac:dyDescent="0.2">
      <c r="A42" s="318">
        <v>2021</v>
      </c>
      <c r="B42" s="282" t="s">
        <v>456</v>
      </c>
      <c r="C42" s="281">
        <v>8</v>
      </c>
      <c r="D42" s="281">
        <v>6</v>
      </c>
      <c r="E42" s="280">
        <f t="shared" si="2"/>
        <v>0.75</v>
      </c>
    </row>
    <row r="43" spans="1:5" x14ac:dyDescent="0.2">
      <c r="A43" s="318">
        <v>2021</v>
      </c>
      <c r="B43" s="282" t="s">
        <v>457</v>
      </c>
      <c r="C43" s="281">
        <v>4</v>
      </c>
      <c r="D43" s="281">
        <v>4</v>
      </c>
      <c r="E43" s="280">
        <f t="shared" si="2"/>
        <v>1</v>
      </c>
    </row>
    <row r="44" spans="1:5" x14ac:dyDescent="0.2">
      <c r="A44" s="318">
        <v>2021</v>
      </c>
      <c r="B44" s="282" t="s">
        <v>458</v>
      </c>
      <c r="C44" s="281">
        <v>12</v>
      </c>
      <c r="D44" s="281">
        <v>8</v>
      </c>
      <c r="E44" s="280">
        <f t="shared" si="2"/>
        <v>0.66666666666666663</v>
      </c>
    </row>
    <row r="45" spans="1:5" x14ac:dyDescent="0.2">
      <c r="A45" s="318">
        <v>2021</v>
      </c>
      <c r="B45" s="282" t="s">
        <v>301</v>
      </c>
      <c r="C45" s="281">
        <v>1</v>
      </c>
      <c r="D45" s="281">
        <v>1</v>
      </c>
      <c r="E45" s="280">
        <f t="shared" ref="E45" si="3">D45/C45</f>
        <v>1</v>
      </c>
    </row>
    <row r="46" spans="1:5" x14ac:dyDescent="0.2">
      <c r="A46" s="318">
        <v>2021</v>
      </c>
      <c r="B46" s="282" t="s">
        <v>459</v>
      </c>
      <c r="C46" s="281">
        <v>8</v>
      </c>
      <c r="D46" s="281">
        <v>5</v>
      </c>
      <c r="E46" s="280">
        <f t="shared" si="2"/>
        <v>0.625</v>
      </c>
    </row>
    <row r="47" spans="1:5" x14ac:dyDescent="0.2">
      <c r="A47" s="318">
        <v>2021</v>
      </c>
      <c r="B47" s="282" t="s">
        <v>461</v>
      </c>
      <c r="C47" s="281">
        <v>5</v>
      </c>
      <c r="D47" s="281">
        <v>2</v>
      </c>
      <c r="E47" s="280">
        <f t="shared" si="2"/>
        <v>0.4</v>
      </c>
    </row>
    <row r="48" spans="1:5" x14ac:dyDescent="0.2">
      <c r="A48" s="318">
        <v>2021</v>
      </c>
      <c r="B48" s="282" t="s">
        <v>679</v>
      </c>
      <c r="C48" s="281">
        <v>5</v>
      </c>
      <c r="D48" s="281">
        <v>3</v>
      </c>
      <c r="E48" s="280">
        <f t="shared" si="2"/>
        <v>0.6</v>
      </c>
    </row>
    <row r="49" spans="1:6" ht="12.75" customHeight="1" x14ac:dyDescent="0.2">
      <c r="A49" s="745" t="s">
        <v>239</v>
      </c>
      <c r="B49" s="746"/>
      <c r="C49" s="263">
        <f>SUM(C27:C48)</f>
        <v>399</v>
      </c>
      <c r="D49" s="263">
        <f>SUM(D27:D48)</f>
        <v>302</v>
      </c>
      <c r="E49" s="264">
        <f>D49/C49</f>
        <v>0.75689223057644106</v>
      </c>
    </row>
    <row r="51" spans="1:6" hidden="1" x14ac:dyDescent="0.2">
      <c r="A51" s="742" t="s">
        <v>357</v>
      </c>
      <c r="B51" s="742"/>
      <c r="C51" s="742"/>
      <c r="D51" s="742"/>
      <c r="E51" s="742"/>
      <c r="F51" s="742"/>
    </row>
    <row r="52" spans="1:6" hidden="1" x14ac:dyDescent="0.2">
      <c r="A52" s="742"/>
      <c r="B52" s="742"/>
      <c r="C52" s="742"/>
      <c r="D52" s="742"/>
      <c r="E52" s="742"/>
      <c r="F52" s="742"/>
    </row>
    <row r="53" spans="1:6" hidden="1" x14ac:dyDescent="0.2">
      <c r="C53" s="45"/>
      <c r="D53" s="45"/>
      <c r="E53" s="45"/>
    </row>
    <row r="54" spans="1:6" ht="12.75" customHeight="1" x14ac:dyDescent="0.2">
      <c r="A54" s="742" t="s">
        <v>358</v>
      </c>
      <c r="B54" s="742"/>
      <c r="C54" s="742"/>
      <c r="D54" s="742"/>
      <c r="E54" s="742"/>
      <c r="F54" s="289"/>
    </row>
    <row r="55" spans="1:6" x14ac:dyDescent="0.2">
      <c r="A55" s="742"/>
      <c r="B55" s="742"/>
      <c r="C55" s="742"/>
      <c r="D55" s="742"/>
      <c r="E55" s="742"/>
      <c r="F55" s="289"/>
    </row>
    <row r="61" spans="1:6" ht="13.9" customHeight="1" x14ac:dyDescent="0.2"/>
    <row r="62" spans="1:6" ht="12.75" customHeight="1" x14ac:dyDescent="0.2"/>
    <row r="74" ht="12.75" customHeight="1" x14ac:dyDescent="0.2"/>
    <row r="79" ht="12.75" customHeight="1" x14ac:dyDescent="0.2"/>
    <row r="86" ht="12.75" customHeight="1" x14ac:dyDescent="0.2"/>
    <row r="91" ht="12.75" customHeight="1" x14ac:dyDescent="0.2"/>
    <row r="98" ht="12.75" customHeight="1" x14ac:dyDescent="0.2"/>
  </sheetData>
  <mergeCells count="22">
    <mergeCell ref="A11:B11"/>
    <mergeCell ref="A13:A14"/>
    <mergeCell ref="B13:B14"/>
    <mergeCell ref="C13:C14"/>
    <mergeCell ref="E13:E14"/>
    <mergeCell ref="D13:D14"/>
    <mergeCell ref="A5:E5"/>
    <mergeCell ref="A6:E6"/>
    <mergeCell ref="A7:A8"/>
    <mergeCell ref="B7:B8"/>
    <mergeCell ref="C7:C8"/>
    <mergeCell ref="E7:E8"/>
    <mergeCell ref="D7:D8"/>
    <mergeCell ref="A51:F52"/>
    <mergeCell ref="D25:D26"/>
    <mergeCell ref="A54:E55"/>
    <mergeCell ref="A23:B23"/>
    <mergeCell ref="A25:A26"/>
    <mergeCell ref="B25:B26"/>
    <mergeCell ref="C25:C26"/>
    <mergeCell ref="E25:E26"/>
    <mergeCell ref="A49:B49"/>
  </mergeCells>
  <hyperlinks>
    <hyperlink ref="D2" location="'Table of Contents'!A1" display="Back to Table Of Contents" xr:uid="{834FFD21-D51C-4C0C-A40E-14823187DA20}"/>
  </hyperlinks>
  <pageMargins left="0.5" right="0.5" top="0.5" bottom="0.5" header="0.5" footer="0.25"/>
  <pageSetup orientation="portrait" r:id="rId1"/>
  <headerFooter alignWithMargins="0">
    <oddHeader>&amp;ROctober 2022</oddHeader>
    <oddFooter>&amp;CPage &amp;P of &amp;N&amp;R&amp;8&amp;F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2F4B7-8910-4202-BC7F-6BC862E1F3D2}">
  <sheetPr codeName="Sheet17">
    <tabColor theme="6"/>
  </sheetPr>
  <dimension ref="A1:G104"/>
  <sheetViews>
    <sheetView zoomScaleNormal="100" zoomScalePageLayoutView="90" workbookViewId="0">
      <selection activeCell="A114" sqref="A114:XFD114"/>
    </sheetView>
  </sheetViews>
  <sheetFormatPr defaultColWidth="8.85546875" defaultRowHeight="12.75" x14ac:dyDescent="0.2"/>
  <cols>
    <col min="1" max="1" width="15.140625" style="45" customWidth="1"/>
    <col min="2" max="2" width="8.85546875" style="45"/>
    <col min="3" max="3" width="26.85546875" style="45" bestFit="1" customWidth="1"/>
    <col min="4" max="4" width="9.7109375" style="45" customWidth="1"/>
    <col min="5" max="5" width="14.42578125" style="45" customWidth="1"/>
    <col min="6" max="6" width="15" style="45" customWidth="1"/>
    <col min="7" max="16384" width="8.85546875" style="45"/>
  </cols>
  <sheetData>
    <row r="1" spans="1:6" ht="18.75" x14ac:dyDescent="0.3">
      <c r="B1" s="288"/>
      <c r="C1" s="289"/>
      <c r="D1" s="228"/>
      <c r="E1" s="228"/>
    </row>
    <row r="2" spans="1:6" ht="15.75" x14ac:dyDescent="0.25">
      <c r="B2" s="287"/>
      <c r="C2" s="289"/>
      <c r="D2" s="228"/>
      <c r="E2" s="228"/>
      <c r="F2" s="132" t="s">
        <v>98</v>
      </c>
    </row>
    <row r="3" spans="1:6" x14ac:dyDescent="0.2">
      <c r="B3" s="286"/>
      <c r="C3" s="289"/>
      <c r="D3" s="228"/>
      <c r="E3" s="228"/>
    </row>
    <row r="4" spans="1:6" x14ac:dyDescent="0.2">
      <c r="B4" s="286"/>
      <c r="C4" s="289"/>
      <c r="D4" s="228"/>
      <c r="E4" s="228"/>
    </row>
    <row r="5" spans="1:6" ht="14.25" customHeight="1" x14ac:dyDescent="0.25">
      <c r="A5" s="749" t="s">
        <v>700</v>
      </c>
      <c r="B5" s="749"/>
      <c r="C5" s="749"/>
      <c r="D5" s="749"/>
      <c r="E5" s="749"/>
      <c r="F5" s="749"/>
    </row>
    <row r="6" spans="1:6" ht="14.25" customHeight="1" x14ac:dyDescent="0.25">
      <c r="A6" s="749" t="s">
        <v>320</v>
      </c>
      <c r="B6" s="749"/>
      <c r="C6" s="749"/>
      <c r="D6" s="749"/>
      <c r="E6" s="749"/>
      <c r="F6" s="749"/>
    </row>
    <row r="7" spans="1:6" ht="3.6" customHeight="1" x14ac:dyDescent="0.2">
      <c r="C7" s="290"/>
    </row>
    <row r="8" spans="1:6" ht="15" customHeight="1" x14ac:dyDescent="0.2">
      <c r="A8" s="743" t="s">
        <v>327</v>
      </c>
      <c r="B8" s="743" t="s">
        <v>183</v>
      </c>
      <c r="C8" s="751" t="s">
        <v>309</v>
      </c>
      <c r="D8" s="743" t="s">
        <v>699</v>
      </c>
      <c r="E8" s="743" t="s">
        <v>1663</v>
      </c>
      <c r="F8" s="743" t="s">
        <v>1664</v>
      </c>
    </row>
    <row r="9" spans="1:6" x14ac:dyDescent="0.2">
      <c r="A9" s="691"/>
      <c r="B9" s="691"/>
      <c r="C9" s="752"/>
      <c r="D9" s="744"/>
      <c r="E9" s="744"/>
      <c r="F9" s="744"/>
    </row>
    <row r="10" spans="1:6" ht="13.9" hidden="1" customHeight="1" x14ac:dyDescent="0.2">
      <c r="A10" s="285">
        <v>2019</v>
      </c>
      <c r="B10" s="285" t="s">
        <v>218</v>
      </c>
      <c r="C10" s="283" t="s">
        <v>328</v>
      </c>
      <c r="D10" s="281">
        <v>0</v>
      </c>
      <c r="E10" s="281"/>
      <c r="F10" s="284"/>
    </row>
    <row r="11" spans="1:6" ht="13.9" hidden="1" customHeight="1" x14ac:dyDescent="0.2">
      <c r="A11" s="318">
        <v>2021</v>
      </c>
      <c r="B11" s="285" t="s">
        <v>218</v>
      </c>
      <c r="C11" s="283" t="s">
        <v>328</v>
      </c>
      <c r="D11" s="281"/>
      <c r="E11" s="281"/>
      <c r="F11" s="304" t="e">
        <f>E11/D11</f>
        <v>#DIV/0!</v>
      </c>
    </row>
    <row r="12" spans="1:6" ht="13.9" customHeight="1" x14ac:dyDescent="0.2">
      <c r="A12" s="318">
        <v>2021</v>
      </c>
      <c r="B12" s="285" t="s">
        <v>218</v>
      </c>
      <c r="C12" s="283" t="s">
        <v>360</v>
      </c>
      <c r="D12" s="281">
        <v>4</v>
      </c>
      <c r="E12" s="281">
        <v>3</v>
      </c>
      <c r="F12" s="304">
        <f t="shared" ref="F12:F16" si="0">E12/D12</f>
        <v>0.75</v>
      </c>
    </row>
    <row r="13" spans="1:6" ht="13.9" customHeight="1" x14ac:dyDescent="0.2">
      <c r="A13" s="318">
        <v>2021</v>
      </c>
      <c r="B13" s="285" t="s">
        <v>218</v>
      </c>
      <c r="C13" s="283" t="s">
        <v>361</v>
      </c>
      <c r="D13" s="281">
        <v>8</v>
      </c>
      <c r="E13" s="281">
        <v>6</v>
      </c>
      <c r="F13" s="304">
        <f t="shared" si="0"/>
        <v>0.75</v>
      </c>
    </row>
    <row r="14" spans="1:6" ht="13.9" customHeight="1" x14ac:dyDescent="0.2">
      <c r="A14" s="318">
        <v>2021</v>
      </c>
      <c r="B14" s="285" t="s">
        <v>218</v>
      </c>
      <c r="C14" s="283" t="s">
        <v>362</v>
      </c>
      <c r="D14" s="281">
        <v>5</v>
      </c>
      <c r="E14" s="281">
        <v>4</v>
      </c>
      <c r="F14" s="304">
        <f t="shared" si="0"/>
        <v>0.8</v>
      </c>
    </row>
    <row r="15" spans="1:6" ht="13.9" customHeight="1" x14ac:dyDescent="0.2">
      <c r="A15" s="318">
        <v>2021</v>
      </c>
      <c r="B15" s="285" t="s">
        <v>218</v>
      </c>
      <c r="C15" s="283" t="s">
        <v>363</v>
      </c>
      <c r="D15" s="281">
        <v>1</v>
      </c>
      <c r="E15" s="281">
        <v>1</v>
      </c>
      <c r="F15" s="304">
        <f t="shared" si="0"/>
        <v>1</v>
      </c>
    </row>
    <row r="16" spans="1:6" ht="13.9" customHeight="1" x14ac:dyDescent="0.2">
      <c r="A16" s="318">
        <v>2021</v>
      </c>
      <c r="B16" s="285" t="s">
        <v>218</v>
      </c>
      <c r="C16" s="283" t="s">
        <v>364</v>
      </c>
      <c r="D16" s="281">
        <v>1</v>
      </c>
      <c r="E16" s="281">
        <v>0</v>
      </c>
      <c r="F16" s="304">
        <f t="shared" si="0"/>
        <v>0</v>
      </c>
    </row>
    <row r="17" spans="1:6" ht="13.9" customHeight="1" x14ac:dyDescent="0.2">
      <c r="A17" s="318">
        <v>2021</v>
      </c>
      <c r="B17" s="285" t="s">
        <v>218</v>
      </c>
      <c r="C17" s="283" t="s">
        <v>369</v>
      </c>
      <c r="D17" s="281">
        <v>18</v>
      </c>
      <c r="E17" s="281">
        <v>14</v>
      </c>
      <c r="F17" s="304">
        <f t="shared" ref="F17" si="1">E17/D17</f>
        <v>0.77777777777777779</v>
      </c>
    </row>
    <row r="18" spans="1:6" ht="13.9" customHeight="1" x14ac:dyDescent="0.2">
      <c r="A18" s="318">
        <v>2021</v>
      </c>
      <c r="B18" s="285" t="s">
        <v>218</v>
      </c>
      <c r="C18" s="283" t="s">
        <v>368</v>
      </c>
      <c r="D18" s="281">
        <v>4</v>
      </c>
      <c r="E18" s="281">
        <v>4</v>
      </c>
      <c r="F18" s="304">
        <f t="shared" ref="F18" si="2">E18/D18</f>
        <v>1</v>
      </c>
    </row>
    <row r="19" spans="1:6" ht="13.9" customHeight="1" x14ac:dyDescent="0.2">
      <c r="A19" s="318">
        <v>2021</v>
      </c>
      <c r="B19" s="285" t="s">
        <v>218</v>
      </c>
      <c r="C19" s="283" t="s">
        <v>370</v>
      </c>
      <c r="D19" s="281">
        <v>2</v>
      </c>
      <c r="E19" s="281">
        <v>2</v>
      </c>
      <c r="F19" s="304">
        <f t="shared" ref="F19" si="3">E19/D19</f>
        <v>1</v>
      </c>
    </row>
    <row r="20" spans="1:6" ht="12.75" hidden="1" customHeight="1" x14ac:dyDescent="0.2">
      <c r="A20" s="285">
        <v>2021</v>
      </c>
      <c r="B20" s="285" t="s">
        <v>218</v>
      </c>
      <c r="C20" s="283"/>
      <c r="D20" s="281"/>
      <c r="E20" s="281"/>
      <c r="F20" s="284"/>
    </row>
    <row r="21" spans="1:6" ht="13.9" customHeight="1" x14ac:dyDescent="0.2">
      <c r="A21" s="753" t="s">
        <v>310</v>
      </c>
      <c r="B21" s="754"/>
      <c r="C21" s="755"/>
      <c r="D21" s="265">
        <f>SUM(D10:D20)</f>
        <v>43</v>
      </c>
      <c r="E21" s="265">
        <f>SUM(E10:E20)</f>
        <v>34</v>
      </c>
      <c r="F21" s="266">
        <f>E21/D21</f>
        <v>0.79069767441860461</v>
      </c>
    </row>
    <row r="22" spans="1:6" ht="3" customHeight="1" x14ac:dyDescent="0.2">
      <c r="C22" s="290"/>
    </row>
    <row r="23" spans="1:6" ht="13.9" customHeight="1" x14ac:dyDescent="0.2">
      <c r="A23" s="743" t="s">
        <v>327</v>
      </c>
      <c r="B23" s="743" t="s">
        <v>183</v>
      </c>
      <c r="C23" s="751" t="s">
        <v>309</v>
      </c>
      <c r="D23" s="747" t="s">
        <v>72</v>
      </c>
      <c r="E23" s="743" t="str">
        <f>E8</f>
        <v># Continued to 2022 Fanuchånan</v>
      </c>
      <c r="F23" s="743" t="str">
        <f>F8</f>
        <v>% Continued to 2022 Fanuchånan</v>
      </c>
    </row>
    <row r="24" spans="1:6" x14ac:dyDescent="0.2">
      <c r="A24" s="691"/>
      <c r="B24" s="691"/>
      <c r="C24" s="752"/>
      <c r="D24" s="748"/>
      <c r="E24" s="744"/>
      <c r="F24" s="744"/>
    </row>
    <row r="25" spans="1:6" ht="13.9" customHeight="1" x14ac:dyDescent="0.2">
      <c r="A25" s="318">
        <v>2021</v>
      </c>
      <c r="B25" s="285" t="s">
        <v>222</v>
      </c>
      <c r="C25" s="283" t="s">
        <v>384</v>
      </c>
      <c r="D25" s="281">
        <v>5</v>
      </c>
      <c r="E25" s="281">
        <v>4</v>
      </c>
      <c r="F25" s="304">
        <f>E25/D25</f>
        <v>0.8</v>
      </c>
    </row>
    <row r="26" spans="1:6" ht="13.9" customHeight="1" x14ac:dyDescent="0.2">
      <c r="A26" s="318">
        <v>2021</v>
      </c>
      <c r="B26" s="285" t="s">
        <v>222</v>
      </c>
      <c r="C26" s="283" t="s">
        <v>375</v>
      </c>
      <c r="D26" s="281">
        <v>42</v>
      </c>
      <c r="E26" s="281">
        <v>36</v>
      </c>
      <c r="F26" s="304">
        <f t="shared" ref="F26:F30" si="4">E26/D26</f>
        <v>0.8571428571428571</v>
      </c>
    </row>
    <row r="27" spans="1:6" ht="13.9" customHeight="1" x14ac:dyDescent="0.2">
      <c r="A27" s="318">
        <v>2021</v>
      </c>
      <c r="B27" s="285" t="s">
        <v>222</v>
      </c>
      <c r="C27" s="283" t="s">
        <v>376</v>
      </c>
      <c r="D27" s="281">
        <v>4</v>
      </c>
      <c r="E27" s="281">
        <v>4</v>
      </c>
      <c r="F27" s="304">
        <f t="shared" si="4"/>
        <v>1</v>
      </c>
    </row>
    <row r="28" spans="1:6" x14ac:dyDescent="0.2">
      <c r="A28" s="318">
        <v>2021</v>
      </c>
      <c r="B28" s="285" t="s">
        <v>222</v>
      </c>
      <c r="C28" s="283" t="s">
        <v>379</v>
      </c>
      <c r="D28" s="281">
        <v>1</v>
      </c>
      <c r="E28" s="281">
        <v>1</v>
      </c>
      <c r="F28" s="304">
        <f t="shared" si="4"/>
        <v>1</v>
      </c>
    </row>
    <row r="29" spans="1:6" x14ac:dyDescent="0.2">
      <c r="A29" s="318">
        <v>2021</v>
      </c>
      <c r="B29" s="285" t="s">
        <v>222</v>
      </c>
      <c r="C29" s="283" t="s">
        <v>380</v>
      </c>
      <c r="D29" s="281">
        <v>2</v>
      </c>
      <c r="E29" s="281">
        <v>2</v>
      </c>
      <c r="F29" s="304">
        <f t="shared" si="4"/>
        <v>1</v>
      </c>
    </row>
    <row r="30" spans="1:6" ht="12.75" customHeight="1" x14ac:dyDescent="0.2">
      <c r="A30" s="318">
        <v>2021</v>
      </c>
      <c r="B30" s="285" t="s">
        <v>222</v>
      </c>
      <c r="C30" s="283" t="s">
        <v>381</v>
      </c>
      <c r="D30" s="281">
        <v>2</v>
      </c>
      <c r="E30" s="281">
        <v>1</v>
      </c>
      <c r="F30" s="304">
        <f t="shared" si="4"/>
        <v>0.5</v>
      </c>
    </row>
    <row r="31" spans="1:6" ht="12.75" customHeight="1" x14ac:dyDescent="0.2">
      <c r="A31" s="318">
        <v>2021</v>
      </c>
      <c r="B31" s="285" t="s">
        <v>222</v>
      </c>
      <c r="C31" s="283" t="s">
        <v>383</v>
      </c>
      <c r="D31" s="281">
        <v>1</v>
      </c>
      <c r="E31" s="281">
        <v>0</v>
      </c>
      <c r="F31" s="304">
        <f t="shared" ref="F31" si="5">E31/D31</f>
        <v>0</v>
      </c>
    </row>
    <row r="32" spans="1:6" hidden="1" x14ac:dyDescent="0.2">
      <c r="A32" s="285">
        <v>2021</v>
      </c>
      <c r="B32" s="285" t="s">
        <v>222</v>
      </c>
      <c r="C32" s="283"/>
      <c r="D32" s="281"/>
      <c r="E32" s="281"/>
      <c r="F32" s="305"/>
    </row>
    <row r="33" spans="1:6" x14ac:dyDescent="0.2">
      <c r="A33" s="753" t="s">
        <v>311</v>
      </c>
      <c r="B33" s="754"/>
      <c r="C33" s="755"/>
      <c r="D33" s="265">
        <f>SUM(D25:D32)</f>
        <v>57</v>
      </c>
      <c r="E33" s="265">
        <f>SUM(E25:E32)</f>
        <v>48</v>
      </c>
      <c r="F33" s="266">
        <f>E33/D33</f>
        <v>0.84210526315789469</v>
      </c>
    </row>
    <row r="34" spans="1:6" ht="3.6" customHeight="1" x14ac:dyDescent="0.2">
      <c r="C34" s="290"/>
    </row>
    <row r="35" spans="1:6" ht="13.9" customHeight="1" x14ac:dyDescent="0.2">
      <c r="A35" s="743" t="s">
        <v>327</v>
      </c>
      <c r="B35" s="743" t="s">
        <v>183</v>
      </c>
      <c r="C35" s="751" t="s">
        <v>309</v>
      </c>
      <c r="D35" s="747" t="s">
        <v>72</v>
      </c>
      <c r="E35" s="743" t="str">
        <f>E8</f>
        <v># Continued to 2022 Fanuchånan</v>
      </c>
      <c r="F35" s="743" t="str">
        <f>F8</f>
        <v>% Continued to 2022 Fanuchånan</v>
      </c>
    </row>
    <row r="36" spans="1:6" x14ac:dyDescent="0.2">
      <c r="A36" s="691"/>
      <c r="B36" s="691"/>
      <c r="C36" s="752"/>
      <c r="D36" s="748"/>
      <c r="E36" s="744"/>
      <c r="F36" s="744"/>
    </row>
    <row r="37" spans="1:6" x14ac:dyDescent="0.2">
      <c r="A37" s="318">
        <v>2021</v>
      </c>
      <c r="B37" s="285" t="s">
        <v>226</v>
      </c>
      <c r="C37" s="283" t="s">
        <v>388</v>
      </c>
      <c r="D37" s="281">
        <v>119</v>
      </c>
      <c r="E37" s="281">
        <v>80</v>
      </c>
      <c r="F37" s="304">
        <f t="shared" ref="F37" si="6">E37/D37</f>
        <v>0.67226890756302526</v>
      </c>
    </row>
    <row r="38" spans="1:6" x14ac:dyDescent="0.2">
      <c r="A38" s="753" t="s">
        <v>312</v>
      </c>
      <c r="B38" s="754"/>
      <c r="C38" s="755"/>
      <c r="D38" s="265">
        <f>D37</f>
        <v>119</v>
      </c>
      <c r="E38" s="265">
        <f>E37</f>
        <v>80</v>
      </c>
      <c r="F38" s="306">
        <f>E38/D38</f>
        <v>0.67226890756302526</v>
      </c>
    </row>
    <row r="39" spans="1:6" ht="3.6" customHeight="1" x14ac:dyDescent="0.2">
      <c r="C39" s="290"/>
    </row>
    <row r="40" spans="1:6" ht="13.9" customHeight="1" x14ac:dyDescent="0.2">
      <c r="A40" s="743" t="s">
        <v>327</v>
      </c>
      <c r="B40" s="743" t="s">
        <v>183</v>
      </c>
      <c r="C40" s="751" t="s">
        <v>309</v>
      </c>
      <c r="D40" s="747" t="s">
        <v>72</v>
      </c>
      <c r="E40" s="743" t="str">
        <f>E8</f>
        <v># Continued to 2022 Fanuchånan</v>
      </c>
      <c r="F40" s="743" t="str">
        <f>F8</f>
        <v>% Continued to 2022 Fanuchånan</v>
      </c>
    </row>
    <row r="41" spans="1:6" x14ac:dyDescent="0.2">
      <c r="A41" s="691"/>
      <c r="B41" s="691"/>
      <c r="C41" s="752"/>
      <c r="D41" s="748"/>
      <c r="E41" s="744"/>
      <c r="F41" s="744"/>
    </row>
    <row r="42" spans="1:6" x14ac:dyDescent="0.2">
      <c r="A42" s="318">
        <v>2021</v>
      </c>
      <c r="B42" s="285" t="s">
        <v>229</v>
      </c>
      <c r="C42" s="283" t="s">
        <v>389</v>
      </c>
      <c r="D42" s="281">
        <v>20</v>
      </c>
      <c r="E42" s="281">
        <v>19</v>
      </c>
      <c r="F42" s="304">
        <f t="shared" ref="F42:F46" si="7">E42/D42</f>
        <v>0.95</v>
      </c>
    </row>
    <row r="43" spans="1:6" x14ac:dyDescent="0.2">
      <c r="A43" s="318">
        <v>2021</v>
      </c>
      <c r="B43" s="285" t="s">
        <v>229</v>
      </c>
      <c r="C43" s="283" t="s">
        <v>1665</v>
      </c>
      <c r="D43" s="281">
        <v>31</v>
      </c>
      <c r="E43" s="281">
        <v>24</v>
      </c>
      <c r="F43" s="304">
        <f t="shared" si="7"/>
        <v>0.77419354838709675</v>
      </c>
    </row>
    <row r="44" spans="1:6" x14ac:dyDescent="0.2">
      <c r="A44" s="318">
        <v>2021</v>
      </c>
      <c r="B44" s="285" t="s">
        <v>229</v>
      </c>
      <c r="C44" s="283" t="s">
        <v>390</v>
      </c>
      <c r="D44" s="281">
        <v>17</v>
      </c>
      <c r="E44" s="281">
        <v>12</v>
      </c>
      <c r="F44" s="304">
        <f t="shared" si="7"/>
        <v>0.70588235294117652</v>
      </c>
    </row>
    <row r="45" spans="1:6" x14ac:dyDescent="0.2">
      <c r="A45" s="318">
        <v>2021</v>
      </c>
      <c r="B45" s="285" t="s">
        <v>229</v>
      </c>
      <c r="C45" s="283" t="s">
        <v>391</v>
      </c>
      <c r="D45" s="281">
        <v>1</v>
      </c>
      <c r="E45" s="281">
        <v>1</v>
      </c>
      <c r="F45" s="304">
        <f t="shared" si="7"/>
        <v>1</v>
      </c>
    </row>
    <row r="46" spans="1:6" x14ac:dyDescent="0.2">
      <c r="A46" s="318">
        <v>2021</v>
      </c>
      <c r="B46" s="285" t="s">
        <v>229</v>
      </c>
      <c r="C46" s="283" t="s">
        <v>392</v>
      </c>
      <c r="D46" s="281">
        <v>2</v>
      </c>
      <c r="E46" s="281">
        <v>0</v>
      </c>
      <c r="F46" s="304">
        <f t="shared" si="7"/>
        <v>0</v>
      </c>
    </row>
    <row r="47" spans="1:6" x14ac:dyDescent="0.2">
      <c r="A47" s="753" t="s">
        <v>313</v>
      </c>
      <c r="B47" s="754"/>
      <c r="C47" s="755"/>
      <c r="D47" s="265">
        <f>SUM(D42:D46)</f>
        <v>71</v>
      </c>
      <c r="E47" s="265">
        <f>SUM(E42:E46)</f>
        <v>56</v>
      </c>
      <c r="F47" s="266">
        <f>E47/D47</f>
        <v>0.78873239436619713</v>
      </c>
    </row>
    <row r="48" spans="1:6" ht="3.6" customHeight="1" x14ac:dyDescent="0.2">
      <c r="C48" s="290"/>
    </row>
    <row r="49" spans="1:6" ht="13.9" customHeight="1" x14ac:dyDescent="0.2">
      <c r="A49" s="743" t="s">
        <v>327</v>
      </c>
      <c r="B49" s="743" t="s">
        <v>183</v>
      </c>
      <c r="C49" s="751" t="s">
        <v>309</v>
      </c>
      <c r="D49" s="747" t="s">
        <v>72</v>
      </c>
      <c r="E49" s="743" t="str">
        <f>E8</f>
        <v># Continued to 2022 Fanuchånan</v>
      </c>
      <c r="F49" s="743" t="str">
        <f>F8</f>
        <v>% Continued to 2022 Fanuchånan</v>
      </c>
    </row>
    <row r="50" spans="1:6" x14ac:dyDescent="0.2">
      <c r="A50" s="691"/>
      <c r="B50" s="691"/>
      <c r="C50" s="752"/>
      <c r="D50" s="748"/>
      <c r="E50" s="744"/>
      <c r="F50" s="744"/>
    </row>
    <row r="51" spans="1:6" x14ac:dyDescent="0.2">
      <c r="A51" s="318">
        <v>2021</v>
      </c>
      <c r="B51" s="285" t="s">
        <v>276</v>
      </c>
      <c r="C51" s="283" t="s">
        <v>340</v>
      </c>
      <c r="D51" s="281">
        <v>25</v>
      </c>
      <c r="E51" s="281">
        <v>21</v>
      </c>
      <c r="F51" s="304">
        <f>E51/D51</f>
        <v>0.84</v>
      </c>
    </row>
    <row r="52" spans="1:6" x14ac:dyDescent="0.2">
      <c r="A52" s="753" t="s">
        <v>314</v>
      </c>
      <c r="B52" s="754"/>
      <c r="C52" s="755"/>
      <c r="D52" s="265">
        <f>D51</f>
        <v>25</v>
      </c>
      <c r="E52" s="265">
        <f>E51</f>
        <v>21</v>
      </c>
      <c r="F52" s="266">
        <f>E52/D52</f>
        <v>0.84</v>
      </c>
    </row>
    <row r="53" spans="1:6" ht="3.6" customHeight="1" x14ac:dyDescent="0.2">
      <c r="C53" s="290"/>
    </row>
    <row r="54" spans="1:6" ht="38.25" x14ac:dyDescent="0.2">
      <c r="A54" s="301" t="s">
        <v>327</v>
      </c>
      <c r="B54" s="301" t="s">
        <v>183</v>
      </c>
      <c r="C54" s="303" t="s">
        <v>309</v>
      </c>
      <c r="D54" s="302" t="s">
        <v>72</v>
      </c>
      <c r="E54" s="301" t="str">
        <f>E8</f>
        <v># Continued to 2022 Fanuchånan</v>
      </c>
      <c r="F54" s="301" t="str">
        <f>F8</f>
        <v>% Continued to 2022 Fanuchånan</v>
      </c>
    </row>
    <row r="55" spans="1:6" x14ac:dyDescent="0.2">
      <c r="A55" s="318">
        <v>2021</v>
      </c>
      <c r="B55" s="285" t="s">
        <v>233</v>
      </c>
      <c r="C55" s="283" t="s">
        <v>395</v>
      </c>
      <c r="D55" s="281">
        <v>8</v>
      </c>
      <c r="E55" s="281">
        <v>6</v>
      </c>
      <c r="F55" s="304">
        <f t="shared" ref="F55:F57" si="8">E55/D55</f>
        <v>0.75</v>
      </c>
    </row>
    <row r="56" spans="1:6" x14ac:dyDescent="0.2">
      <c r="A56" s="318">
        <v>2021</v>
      </c>
      <c r="B56" s="285" t="s">
        <v>233</v>
      </c>
      <c r="C56" s="283" t="s">
        <v>397</v>
      </c>
      <c r="D56" s="281">
        <v>5</v>
      </c>
      <c r="E56" s="281">
        <v>4</v>
      </c>
      <c r="F56" s="304">
        <f t="shared" si="8"/>
        <v>0.8</v>
      </c>
    </row>
    <row r="57" spans="1:6" x14ac:dyDescent="0.2">
      <c r="A57" s="318">
        <v>2021</v>
      </c>
      <c r="B57" s="285" t="s">
        <v>233</v>
      </c>
      <c r="C57" s="283" t="s">
        <v>398</v>
      </c>
      <c r="D57" s="281">
        <v>4</v>
      </c>
      <c r="E57" s="281">
        <v>4</v>
      </c>
      <c r="F57" s="304">
        <f t="shared" si="8"/>
        <v>1</v>
      </c>
    </row>
    <row r="58" spans="1:6" ht="12.75" hidden="1" customHeight="1" x14ac:dyDescent="0.2">
      <c r="A58" s="285">
        <v>2021</v>
      </c>
      <c r="B58" s="285" t="s">
        <v>233</v>
      </c>
      <c r="C58" s="283"/>
      <c r="D58" s="281"/>
      <c r="E58" s="281"/>
      <c r="F58" s="284"/>
    </row>
    <row r="59" spans="1:6" x14ac:dyDescent="0.2">
      <c r="A59" s="753" t="s">
        <v>315</v>
      </c>
      <c r="B59" s="754"/>
      <c r="C59" s="755"/>
      <c r="D59" s="265">
        <f>SUM(D55:D58)</f>
        <v>17</v>
      </c>
      <c r="E59" s="265">
        <f>SUM(E55:E58)</f>
        <v>14</v>
      </c>
      <c r="F59" s="266">
        <f>E59/D59</f>
        <v>0.82352941176470584</v>
      </c>
    </row>
    <row r="60" spans="1:6" ht="3.6" customHeight="1" x14ac:dyDescent="0.2">
      <c r="C60" s="290"/>
    </row>
    <row r="61" spans="1:6" ht="38.25" x14ac:dyDescent="0.2">
      <c r="A61" s="301" t="s">
        <v>327</v>
      </c>
      <c r="B61" s="301" t="s">
        <v>183</v>
      </c>
      <c r="C61" s="303" t="s">
        <v>309</v>
      </c>
      <c r="D61" s="302" t="s">
        <v>72</v>
      </c>
      <c r="E61" s="301" t="str">
        <f>E8</f>
        <v># Continued to 2022 Fanuchånan</v>
      </c>
      <c r="F61" s="301" t="str">
        <f>F8</f>
        <v>% Continued to 2022 Fanuchånan</v>
      </c>
    </row>
    <row r="62" spans="1:6" x14ac:dyDescent="0.2">
      <c r="A62" s="318">
        <v>2021</v>
      </c>
      <c r="B62" s="285" t="s">
        <v>324</v>
      </c>
      <c r="C62" s="283" t="s">
        <v>293</v>
      </c>
      <c r="D62" s="281">
        <v>13</v>
      </c>
      <c r="E62" s="281">
        <v>8</v>
      </c>
      <c r="F62" s="304">
        <f t="shared" ref="F62:F65" si="9">E62/D62</f>
        <v>0.61538461538461542</v>
      </c>
    </row>
    <row r="63" spans="1:6" x14ac:dyDescent="0.2">
      <c r="A63" s="318">
        <v>2021</v>
      </c>
      <c r="B63" s="285" t="s">
        <v>324</v>
      </c>
      <c r="C63" s="283" t="s">
        <v>404</v>
      </c>
      <c r="D63" s="281">
        <v>51</v>
      </c>
      <c r="E63" s="281">
        <v>39</v>
      </c>
      <c r="F63" s="304">
        <f t="shared" si="9"/>
        <v>0.76470588235294112</v>
      </c>
    </row>
    <row r="64" spans="1:6" x14ac:dyDescent="0.2">
      <c r="A64" s="318">
        <v>2021</v>
      </c>
      <c r="B64" s="285" t="s">
        <v>324</v>
      </c>
      <c r="C64" s="283" t="s">
        <v>382</v>
      </c>
      <c r="D64" s="281">
        <v>3</v>
      </c>
      <c r="E64" s="281">
        <v>2</v>
      </c>
      <c r="F64" s="304">
        <f t="shared" si="9"/>
        <v>0.66666666666666663</v>
      </c>
    </row>
    <row r="65" spans="1:7" hidden="1" x14ac:dyDescent="0.2">
      <c r="A65" s="318">
        <v>2021</v>
      </c>
      <c r="B65" s="285" t="s">
        <v>324</v>
      </c>
      <c r="C65" s="283" t="s">
        <v>405</v>
      </c>
      <c r="D65" s="281"/>
      <c r="E65" s="281"/>
      <c r="F65" s="304" t="e">
        <f t="shared" si="9"/>
        <v>#DIV/0!</v>
      </c>
    </row>
    <row r="66" spans="1:7" hidden="1" x14ac:dyDescent="0.2">
      <c r="A66" s="285">
        <v>2021</v>
      </c>
      <c r="B66" s="285" t="s">
        <v>324</v>
      </c>
      <c r="C66" s="283"/>
      <c r="D66" s="281"/>
      <c r="E66" s="281"/>
      <c r="F66" s="304"/>
    </row>
    <row r="67" spans="1:7" x14ac:dyDescent="0.2">
      <c r="A67" s="753" t="s">
        <v>338</v>
      </c>
      <c r="B67" s="754"/>
      <c r="C67" s="755"/>
      <c r="D67" s="265">
        <f>SUM(D62:D66)</f>
        <v>67</v>
      </c>
      <c r="E67" s="265">
        <f>SUM(E62:E66)</f>
        <v>49</v>
      </c>
      <c r="F67" s="266">
        <f>E67/D67</f>
        <v>0.73134328358208955</v>
      </c>
    </row>
    <row r="68" spans="1:7" ht="3.6" customHeight="1" x14ac:dyDescent="0.2">
      <c r="C68" s="290"/>
    </row>
    <row r="69" spans="1:7" x14ac:dyDescent="0.2">
      <c r="A69" s="745" t="s">
        <v>239</v>
      </c>
      <c r="B69" s="756"/>
      <c r="C69" s="746"/>
      <c r="D69" s="267">
        <f>D67+D59+D52+D47+D38+D33+D21</f>
        <v>399</v>
      </c>
      <c r="E69" s="267">
        <f>E67+E59+E52+E47+E38+E33+E21</f>
        <v>302</v>
      </c>
      <c r="F69" s="268">
        <f>E69/D69</f>
        <v>0.75689223057644106</v>
      </c>
    </row>
    <row r="70" spans="1:7" ht="13.9" customHeight="1" x14ac:dyDescent="0.2"/>
    <row r="71" spans="1:7" ht="13.9" hidden="1" customHeight="1" x14ac:dyDescent="0.2">
      <c r="A71" s="742" t="s">
        <v>357</v>
      </c>
      <c r="B71" s="742"/>
      <c r="C71" s="742"/>
      <c r="D71" s="742"/>
      <c r="E71" s="742"/>
      <c r="F71" s="742"/>
      <c r="G71" s="742"/>
    </row>
    <row r="72" spans="1:7" hidden="1" x14ac:dyDescent="0.2">
      <c r="A72" s="742"/>
      <c r="B72" s="742"/>
      <c r="C72" s="742"/>
      <c r="D72" s="742"/>
      <c r="E72" s="742"/>
      <c r="F72" s="742"/>
      <c r="G72" s="742"/>
    </row>
    <row r="73" spans="1:7" hidden="1" x14ac:dyDescent="0.2"/>
    <row r="74" spans="1:7" ht="13.9" customHeight="1" x14ac:dyDescent="0.2">
      <c r="A74" s="742" t="s">
        <v>358</v>
      </c>
      <c r="B74" s="742"/>
      <c r="C74" s="742"/>
      <c r="D74" s="742"/>
      <c r="E74" s="742"/>
      <c r="F74" s="742"/>
      <c r="G74" s="742"/>
    </row>
    <row r="75" spans="1:7" x14ac:dyDescent="0.2">
      <c r="A75" s="742"/>
      <c r="B75" s="742"/>
      <c r="C75" s="742"/>
      <c r="D75" s="742"/>
      <c r="E75" s="742"/>
      <c r="F75" s="742"/>
      <c r="G75" s="742"/>
    </row>
    <row r="80" spans="1:7" ht="12.75" customHeight="1" x14ac:dyDescent="0.2"/>
    <row r="85" ht="12.75" customHeight="1" x14ac:dyDescent="0.2"/>
    <row r="92" ht="12.75" customHeight="1" x14ac:dyDescent="0.2"/>
    <row r="97" ht="12.75" customHeight="1" x14ac:dyDescent="0.2"/>
    <row r="104" ht="12.75" customHeight="1" x14ac:dyDescent="0.2"/>
  </sheetData>
  <mergeCells count="42">
    <mergeCell ref="A74:G75"/>
    <mergeCell ref="A47:C47"/>
    <mergeCell ref="A49:A50"/>
    <mergeCell ref="B49:B50"/>
    <mergeCell ref="C49:C50"/>
    <mergeCell ref="D49:D50"/>
    <mergeCell ref="F49:F50"/>
    <mergeCell ref="A52:C52"/>
    <mergeCell ref="A59:C59"/>
    <mergeCell ref="A67:C67"/>
    <mergeCell ref="A69:C69"/>
    <mergeCell ref="A71:G72"/>
    <mergeCell ref="E49:E50"/>
    <mergeCell ref="F40:F41"/>
    <mergeCell ref="A33:C33"/>
    <mergeCell ref="A35:A36"/>
    <mergeCell ref="B35:B36"/>
    <mergeCell ref="C35:C36"/>
    <mergeCell ref="D35:D36"/>
    <mergeCell ref="F35:F36"/>
    <mergeCell ref="A38:C38"/>
    <mergeCell ref="A40:A41"/>
    <mergeCell ref="B40:B41"/>
    <mergeCell ref="C40:C41"/>
    <mergeCell ref="D40:D41"/>
    <mergeCell ref="E35:E36"/>
    <mergeCell ref="E40:E41"/>
    <mergeCell ref="F23:F24"/>
    <mergeCell ref="A5:F5"/>
    <mergeCell ref="A6:F6"/>
    <mergeCell ref="A8:A9"/>
    <mergeCell ref="B8:B9"/>
    <mergeCell ref="C8:C9"/>
    <mergeCell ref="D8:D9"/>
    <mergeCell ref="F8:F9"/>
    <mergeCell ref="A21:C21"/>
    <mergeCell ref="A23:A24"/>
    <mergeCell ref="B23:B24"/>
    <mergeCell ref="C23:C24"/>
    <mergeCell ref="D23:D24"/>
    <mergeCell ref="E8:E9"/>
    <mergeCell ref="E23:E24"/>
  </mergeCells>
  <hyperlinks>
    <hyperlink ref="F2" location="'Table of Contents'!A1" display="Back to Table Of Contents" xr:uid="{F966CFE7-E038-4F5F-9058-DEB2EB6F7F06}"/>
  </hyperlinks>
  <pageMargins left="0.5" right="0.5" top="0.5" bottom="0.5" header="0.5" footer="0.25"/>
  <pageSetup scale="75" orientation="portrait" r:id="rId1"/>
  <headerFooter alignWithMargins="0">
    <oddHeader>&amp;ROctober 2022</oddHeader>
    <oddFooter>&amp;CPage &amp;P of &amp;N&amp;R&amp;8&amp;F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E1B99-2050-4091-BD0F-BED8A8774389}">
  <sheetPr codeName="Sheet18">
    <tabColor theme="6"/>
  </sheetPr>
  <dimension ref="A1:E106"/>
  <sheetViews>
    <sheetView zoomScaleNormal="100" zoomScalePageLayoutView="90" workbookViewId="0">
      <selection activeCell="D22" sqref="D22"/>
    </sheetView>
  </sheetViews>
  <sheetFormatPr defaultColWidth="8.85546875" defaultRowHeight="12.75" x14ac:dyDescent="0.2"/>
  <cols>
    <col min="1" max="1" width="15.28515625" style="45" customWidth="1"/>
    <col min="2" max="2" width="27.7109375" style="45" customWidth="1"/>
    <col min="3" max="3" width="12" style="279" customWidth="1"/>
    <col min="4" max="4" width="14.28515625" style="279" customWidth="1"/>
    <col min="5" max="5" width="15.42578125" style="228" customWidth="1"/>
    <col min="6" max="16384" width="8.85546875" style="45"/>
  </cols>
  <sheetData>
    <row r="1" spans="1:5" ht="18.75" x14ac:dyDescent="0.3">
      <c r="B1" s="288"/>
    </row>
    <row r="2" spans="1:5" ht="15.75" x14ac:dyDescent="0.25">
      <c r="B2" s="287"/>
      <c r="E2" s="132" t="s">
        <v>98</v>
      </c>
    </row>
    <row r="3" spans="1:5" x14ac:dyDescent="0.2">
      <c r="B3" s="286"/>
    </row>
    <row r="4" spans="1:5" x14ac:dyDescent="0.2">
      <c r="B4" s="286"/>
    </row>
    <row r="5" spans="1:5" ht="14.25" customHeight="1" x14ac:dyDescent="0.25">
      <c r="A5" s="749" t="s">
        <v>697</v>
      </c>
      <c r="B5" s="749"/>
      <c r="C5" s="749"/>
      <c r="D5" s="749"/>
      <c r="E5" s="749"/>
    </row>
    <row r="6" spans="1:5" ht="14.25" customHeight="1" x14ac:dyDescent="0.25">
      <c r="A6" s="750" t="s">
        <v>329</v>
      </c>
      <c r="B6" s="750"/>
      <c r="C6" s="750"/>
      <c r="D6" s="750"/>
      <c r="E6" s="750"/>
    </row>
    <row r="7" spans="1:5" ht="15" customHeight="1" x14ac:dyDescent="0.2">
      <c r="A7" s="743" t="s">
        <v>327</v>
      </c>
      <c r="B7" s="743" t="s">
        <v>71</v>
      </c>
      <c r="C7" s="743" t="s">
        <v>699</v>
      </c>
      <c r="D7" s="743" t="s">
        <v>1663</v>
      </c>
      <c r="E7" s="743" t="s">
        <v>1664</v>
      </c>
    </row>
    <row r="8" spans="1:5" x14ac:dyDescent="0.2">
      <c r="A8" s="691"/>
      <c r="B8" s="691"/>
      <c r="C8" s="744"/>
      <c r="D8" s="691"/>
      <c r="E8" s="691"/>
    </row>
    <row r="9" spans="1:5" ht="13.9" customHeight="1" x14ac:dyDescent="0.2">
      <c r="A9" s="319">
        <v>2021</v>
      </c>
      <c r="B9" s="282" t="s">
        <v>81</v>
      </c>
      <c r="C9" s="281">
        <v>51</v>
      </c>
      <c r="D9" s="281">
        <v>33</v>
      </c>
      <c r="E9" s="280">
        <f>D9/C9</f>
        <v>0.6470588235294118</v>
      </c>
    </row>
    <row r="10" spans="1:5" ht="13.9" customHeight="1" x14ac:dyDescent="0.2">
      <c r="A10" s="319">
        <v>2021</v>
      </c>
      <c r="B10" s="282" t="s">
        <v>82</v>
      </c>
      <c r="C10" s="281">
        <v>31</v>
      </c>
      <c r="D10" s="281">
        <v>23</v>
      </c>
      <c r="E10" s="280">
        <f>D10/C10</f>
        <v>0.74193548387096775</v>
      </c>
    </row>
    <row r="11" spans="1:5" ht="13.9" customHeight="1" x14ac:dyDescent="0.2">
      <c r="A11" s="745" t="s">
        <v>239</v>
      </c>
      <c r="B11" s="746"/>
      <c r="C11" s="263">
        <f>SUM(C9:C10)</f>
        <v>82</v>
      </c>
      <c r="D11" s="263">
        <f>SUM(D9:D10)</f>
        <v>56</v>
      </c>
      <c r="E11" s="264">
        <f>D11/C11</f>
        <v>0.68292682926829273</v>
      </c>
    </row>
    <row r="12" spans="1:5" ht="13.9" customHeight="1" x14ac:dyDescent="0.2">
      <c r="C12" s="45"/>
      <c r="D12" s="45"/>
      <c r="E12" s="45"/>
    </row>
    <row r="13" spans="1:5" ht="13.9" customHeight="1" x14ac:dyDescent="0.2">
      <c r="A13" s="743" t="s">
        <v>327</v>
      </c>
      <c r="B13" s="743" t="s">
        <v>307</v>
      </c>
      <c r="C13" s="747" t="s">
        <v>72</v>
      </c>
      <c r="D13" s="743" t="str">
        <f>D7</f>
        <v># Continued to 2022 Fanuchånan</v>
      </c>
      <c r="E13" s="743" t="str">
        <f>E7</f>
        <v>% Continued to 2022 Fanuchånan</v>
      </c>
    </row>
    <row r="14" spans="1:5" x14ac:dyDescent="0.2">
      <c r="A14" s="691"/>
      <c r="B14" s="691"/>
      <c r="C14" s="748"/>
      <c r="D14" s="691"/>
      <c r="E14" s="691"/>
    </row>
    <row r="15" spans="1:5" ht="13.9" customHeight="1" x14ac:dyDescent="0.2">
      <c r="A15" s="319">
        <v>2021</v>
      </c>
      <c r="B15" s="282" t="s">
        <v>321</v>
      </c>
      <c r="C15" s="281">
        <v>1</v>
      </c>
      <c r="D15" s="281">
        <v>0</v>
      </c>
      <c r="E15" s="304">
        <f>D15/C15</f>
        <v>0</v>
      </c>
    </row>
    <row r="16" spans="1:5" ht="13.9" customHeight="1" x14ac:dyDescent="0.2">
      <c r="A16" s="319">
        <v>2021</v>
      </c>
      <c r="B16" s="282" t="s">
        <v>305</v>
      </c>
      <c r="C16" s="281">
        <v>24</v>
      </c>
      <c r="D16" s="281">
        <v>14</v>
      </c>
      <c r="E16" s="304">
        <f t="shared" ref="E16:E20" si="0">D16/C16</f>
        <v>0.58333333333333337</v>
      </c>
    </row>
    <row r="17" spans="1:5" ht="13.9" customHeight="1" x14ac:dyDescent="0.2">
      <c r="A17" s="319">
        <v>2021</v>
      </c>
      <c r="B17" s="282" t="s">
        <v>318</v>
      </c>
      <c r="C17" s="281">
        <v>2</v>
      </c>
      <c r="D17" s="281">
        <v>0</v>
      </c>
      <c r="E17" s="304">
        <f t="shared" si="0"/>
        <v>0</v>
      </c>
    </row>
    <row r="18" spans="1:5" ht="13.9" customHeight="1" x14ac:dyDescent="0.2">
      <c r="A18" s="319">
        <v>2021</v>
      </c>
      <c r="B18" s="282" t="s">
        <v>300</v>
      </c>
      <c r="C18" s="281">
        <v>3</v>
      </c>
      <c r="D18" s="281">
        <v>2</v>
      </c>
      <c r="E18" s="304">
        <f t="shared" si="0"/>
        <v>0.66666666666666663</v>
      </c>
    </row>
    <row r="19" spans="1:5" ht="12.75" customHeight="1" x14ac:dyDescent="0.2">
      <c r="A19" s="319">
        <v>2021</v>
      </c>
      <c r="B19" s="282" t="s">
        <v>306</v>
      </c>
      <c r="C19" s="281">
        <v>47</v>
      </c>
      <c r="D19" s="281">
        <v>38</v>
      </c>
      <c r="E19" s="304">
        <f t="shared" si="0"/>
        <v>0.80851063829787229</v>
      </c>
    </row>
    <row r="20" spans="1:5" ht="13.9" customHeight="1" x14ac:dyDescent="0.2">
      <c r="A20" s="319">
        <v>2021</v>
      </c>
      <c r="B20" s="282" t="s">
        <v>319</v>
      </c>
      <c r="C20" s="281">
        <v>4</v>
      </c>
      <c r="D20" s="281">
        <v>1</v>
      </c>
      <c r="E20" s="304">
        <f t="shared" si="0"/>
        <v>0.25</v>
      </c>
    </row>
    <row r="21" spans="1:5" ht="13.9" customHeight="1" x14ac:dyDescent="0.2">
      <c r="A21" s="319">
        <v>2021</v>
      </c>
      <c r="B21" s="282" t="s">
        <v>679</v>
      </c>
      <c r="C21" s="281">
        <v>1</v>
      </c>
      <c r="D21" s="281">
        <v>1</v>
      </c>
      <c r="E21" s="304">
        <f t="shared" ref="E21" si="1">D21/C21</f>
        <v>1</v>
      </c>
    </row>
    <row r="22" spans="1:5" ht="13.9" customHeight="1" x14ac:dyDescent="0.2">
      <c r="A22" s="745" t="s">
        <v>239</v>
      </c>
      <c r="B22" s="746"/>
      <c r="C22" s="263">
        <f>SUM(C15:C21)</f>
        <v>82</v>
      </c>
      <c r="D22" s="263">
        <f>SUM(D15:D21)</f>
        <v>56</v>
      </c>
      <c r="E22" s="264">
        <f>D22/C22</f>
        <v>0.68292682926829273</v>
      </c>
    </row>
    <row r="23" spans="1:5" ht="13.9" customHeight="1" x14ac:dyDescent="0.2">
      <c r="C23" s="45"/>
      <c r="D23" s="45"/>
      <c r="E23" s="45"/>
    </row>
    <row r="24" spans="1:5" ht="13.9" customHeight="1" x14ac:dyDescent="0.2">
      <c r="A24" s="743" t="s">
        <v>327</v>
      </c>
      <c r="B24" s="747" t="s">
        <v>308</v>
      </c>
      <c r="C24" s="747" t="s">
        <v>72</v>
      </c>
      <c r="D24" s="743" t="str">
        <f>D7</f>
        <v># Continued to 2022 Fanuchånan</v>
      </c>
      <c r="E24" s="743" t="str">
        <f>E7</f>
        <v>% Continued to 2022 Fanuchånan</v>
      </c>
    </row>
    <row r="25" spans="1:5" ht="13.9" customHeight="1" x14ac:dyDescent="0.2">
      <c r="A25" s="691"/>
      <c r="B25" s="748"/>
      <c r="C25" s="748"/>
      <c r="D25" s="691"/>
      <c r="E25" s="691"/>
    </row>
    <row r="26" spans="1:5" ht="13.9" customHeight="1" x14ac:dyDescent="0.2">
      <c r="A26" s="319">
        <v>2021</v>
      </c>
      <c r="B26" s="282" t="s">
        <v>321</v>
      </c>
      <c r="C26" s="281">
        <v>1</v>
      </c>
      <c r="D26" s="281">
        <v>0</v>
      </c>
      <c r="E26" s="304">
        <f>D26/C26</f>
        <v>0</v>
      </c>
    </row>
    <row r="27" spans="1:5" ht="13.9" customHeight="1" x14ac:dyDescent="0.2">
      <c r="A27" s="319">
        <v>2021</v>
      </c>
      <c r="B27" s="282" t="s">
        <v>443</v>
      </c>
      <c r="C27" s="281">
        <v>1</v>
      </c>
      <c r="D27" s="281">
        <v>0</v>
      </c>
      <c r="E27" s="304">
        <f t="shared" ref="E27:E42" si="2">D27/C27</f>
        <v>0</v>
      </c>
    </row>
    <row r="28" spans="1:5" x14ac:dyDescent="0.2">
      <c r="A28" s="319">
        <v>2021</v>
      </c>
      <c r="B28" s="282" t="s">
        <v>444</v>
      </c>
      <c r="C28" s="281">
        <v>21</v>
      </c>
      <c r="D28" s="281">
        <v>13</v>
      </c>
      <c r="E28" s="304">
        <f t="shared" si="2"/>
        <v>0.61904761904761907</v>
      </c>
    </row>
    <row r="29" spans="1:5" x14ac:dyDescent="0.2">
      <c r="A29" s="319">
        <v>2021</v>
      </c>
      <c r="B29" s="282" t="s">
        <v>447</v>
      </c>
      <c r="C29" s="281">
        <v>1</v>
      </c>
      <c r="D29" s="281">
        <v>1</v>
      </c>
      <c r="E29" s="304">
        <f t="shared" si="2"/>
        <v>1</v>
      </c>
    </row>
    <row r="30" spans="1:5" x14ac:dyDescent="0.2">
      <c r="A30" s="319">
        <v>2021</v>
      </c>
      <c r="B30" s="282" t="s">
        <v>450</v>
      </c>
      <c r="C30" s="281">
        <v>1</v>
      </c>
      <c r="D30" s="281">
        <v>0</v>
      </c>
      <c r="E30" s="304">
        <f t="shared" si="2"/>
        <v>0</v>
      </c>
    </row>
    <row r="31" spans="1:5" ht="12.75" customHeight="1" x14ac:dyDescent="0.2">
      <c r="A31" s="319">
        <v>2021</v>
      </c>
      <c r="B31" s="282" t="s">
        <v>318</v>
      </c>
      <c r="C31" s="281">
        <v>2</v>
      </c>
      <c r="D31" s="281">
        <v>0</v>
      </c>
      <c r="E31" s="304">
        <f t="shared" si="2"/>
        <v>0</v>
      </c>
    </row>
    <row r="32" spans="1:5" ht="12.75" customHeight="1" x14ac:dyDescent="0.2">
      <c r="A32" s="319">
        <v>2021</v>
      </c>
      <c r="B32" s="282" t="s">
        <v>451</v>
      </c>
      <c r="C32" s="281">
        <v>7</v>
      </c>
      <c r="D32" s="281">
        <v>6</v>
      </c>
      <c r="E32" s="304">
        <f t="shared" si="2"/>
        <v>0.8571428571428571</v>
      </c>
    </row>
    <row r="33" spans="1:5" x14ac:dyDescent="0.2">
      <c r="A33" s="319">
        <v>2021</v>
      </c>
      <c r="B33" s="282" t="s">
        <v>452</v>
      </c>
      <c r="C33" s="281">
        <v>17</v>
      </c>
      <c r="D33" s="281">
        <v>14</v>
      </c>
      <c r="E33" s="304">
        <f t="shared" si="2"/>
        <v>0.82352941176470584</v>
      </c>
    </row>
    <row r="34" spans="1:5" x14ac:dyDescent="0.2">
      <c r="A34" s="319">
        <v>2021</v>
      </c>
      <c r="B34" s="282" t="s">
        <v>300</v>
      </c>
      <c r="C34" s="281">
        <v>3</v>
      </c>
      <c r="D34" s="281">
        <v>2</v>
      </c>
      <c r="E34" s="304">
        <f t="shared" si="2"/>
        <v>0.66666666666666663</v>
      </c>
    </row>
    <row r="35" spans="1:5" x14ac:dyDescent="0.2">
      <c r="A35" s="319">
        <v>2021</v>
      </c>
      <c r="B35" s="282" t="s">
        <v>453</v>
      </c>
      <c r="C35" s="281">
        <v>4</v>
      </c>
      <c r="D35" s="281">
        <v>4</v>
      </c>
      <c r="E35" s="304">
        <f t="shared" si="2"/>
        <v>1</v>
      </c>
    </row>
    <row r="36" spans="1:5" x14ac:dyDescent="0.2">
      <c r="A36" s="319">
        <v>2021</v>
      </c>
      <c r="B36" s="282" t="s">
        <v>454</v>
      </c>
      <c r="C36" s="281">
        <v>2</v>
      </c>
      <c r="D36" s="281">
        <v>2</v>
      </c>
      <c r="E36" s="304">
        <f t="shared" ref="E36:E38" si="3">D36/C36</f>
        <v>1</v>
      </c>
    </row>
    <row r="37" spans="1:5" x14ac:dyDescent="0.2">
      <c r="A37" s="319">
        <v>2021</v>
      </c>
      <c r="B37" s="282" t="s">
        <v>455</v>
      </c>
      <c r="C37" s="281">
        <v>1</v>
      </c>
      <c r="D37" s="281">
        <v>0</v>
      </c>
      <c r="E37" s="304">
        <f t="shared" ref="E37" si="4">D37/C37</f>
        <v>0</v>
      </c>
    </row>
    <row r="38" spans="1:5" x14ac:dyDescent="0.2">
      <c r="A38" s="319">
        <v>2021</v>
      </c>
      <c r="B38" s="282" t="s">
        <v>456</v>
      </c>
      <c r="C38" s="281">
        <v>5</v>
      </c>
      <c r="D38" s="281">
        <v>5</v>
      </c>
      <c r="E38" s="304">
        <f t="shared" si="3"/>
        <v>1</v>
      </c>
    </row>
    <row r="39" spans="1:5" ht="12.75" customHeight="1" x14ac:dyDescent="0.2">
      <c r="A39" s="319">
        <v>2021</v>
      </c>
      <c r="B39" s="282" t="s">
        <v>457</v>
      </c>
      <c r="C39" s="281">
        <v>6</v>
      </c>
      <c r="D39" s="281">
        <v>5</v>
      </c>
      <c r="E39" s="304">
        <f t="shared" si="2"/>
        <v>0.83333333333333337</v>
      </c>
    </row>
    <row r="40" spans="1:5" x14ac:dyDescent="0.2">
      <c r="A40" s="319">
        <v>2021</v>
      </c>
      <c r="B40" s="282" t="s">
        <v>458</v>
      </c>
      <c r="C40" s="281">
        <v>3</v>
      </c>
      <c r="D40" s="281">
        <v>1</v>
      </c>
      <c r="E40" s="304">
        <f t="shared" si="2"/>
        <v>0.33333333333333331</v>
      </c>
    </row>
    <row r="41" spans="1:5" x14ac:dyDescent="0.2">
      <c r="A41" s="319">
        <v>2021</v>
      </c>
      <c r="B41" s="282" t="s">
        <v>459</v>
      </c>
      <c r="C41" s="281">
        <v>2</v>
      </c>
      <c r="D41" s="281">
        <v>1</v>
      </c>
      <c r="E41" s="304">
        <f t="shared" ref="E41" si="5">D41/C41</f>
        <v>0.5</v>
      </c>
    </row>
    <row r="42" spans="1:5" x14ac:dyDescent="0.2">
      <c r="A42" s="319">
        <v>2021</v>
      </c>
      <c r="B42" s="282" t="s">
        <v>319</v>
      </c>
      <c r="C42" s="281">
        <v>4</v>
      </c>
      <c r="D42" s="281">
        <v>1</v>
      </c>
      <c r="E42" s="304">
        <f t="shared" si="2"/>
        <v>0.25</v>
      </c>
    </row>
    <row r="43" spans="1:5" x14ac:dyDescent="0.2">
      <c r="A43" s="319">
        <v>2021</v>
      </c>
      <c r="B43" s="282" t="s">
        <v>679</v>
      </c>
      <c r="C43" s="281">
        <v>1</v>
      </c>
      <c r="D43" s="281">
        <v>1</v>
      </c>
      <c r="E43" s="304">
        <f t="shared" ref="E43" si="6">D43/C43</f>
        <v>1</v>
      </c>
    </row>
    <row r="44" spans="1:5" x14ac:dyDescent="0.2">
      <c r="A44" s="745" t="s">
        <v>239</v>
      </c>
      <c r="B44" s="746"/>
      <c r="C44" s="263">
        <f>SUM(C26:C43)</f>
        <v>82</v>
      </c>
      <c r="D44" s="263">
        <f>SUM(D26:D43)</f>
        <v>56</v>
      </c>
      <c r="E44" s="264">
        <f>D44/C44</f>
        <v>0.68292682926829273</v>
      </c>
    </row>
    <row r="45" spans="1:5" ht="12.75" customHeight="1" x14ac:dyDescent="0.2"/>
    <row r="49" ht="12.75" customHeight="1" x14ac:dyDescent="0.2"/>
    <row r="52" ht="12.75" customHeight="1" x14ac:dyDescent="0.2"/>
    <row r="58" ht="12.75" customHeight="1" x14ac:dyDescent="0.2"/>
    <row r="70" ht="12.75" customHeight="1" x14ac:dyDescent="0.2"/>
    <row r="82" ht="12.75" customHeight="1" x14ac:dyDescent="0.2"/>
    <row r="87" ht="12.75" customHeight="1" x14ac:dyDescent="0.2"/>
    <row r="94" ht="12.75" customHeight="1" x14ac:dyDescent="0.2"/>
    <row r="99" ht="12.75" customHeight="1" x14ac:dyDescent="0.2"/>
    <row r="106" ht="12.75" customHeight="1" x14ac:dyDescent="0.2"/>
  </sheetData>
  <mergeCells count="20">
    <mergeCell ref="A24:A25"/>
    <mergeCell ref="E24:E25"/>
    <mergeCell ref="A44:B44"/>
    <mergeCell ref="A11:B11"/>
    <mergeCell ref="A13:A14"/>
    <mergeCell ref="B13:B14"/>
    <mergeCell ref="C13:C14"/>
    <mergeCell ref="E13:E14"/>
    <mergeCell ref="A22:B22"/>
    <mergeCell ref="D13:D14"/>
    <mergeCell ref="D24:D25"/>
    <mergeCell ref="B24:B25"/>
    <mergeCell ref="C24:C25"/>
    <mergeCell ref="A5:E5"/>
    <mergeCell ref="A6:E6"/>
    <mergeCell ref="A7:A8"/>
    <mergeCell ref="B7:B8"/>
    <mergeCell ref="C7:C8"/>
    <mergeCell ref="E7:E8"/>
    <mergeCell ref="D7:D8"/>
  </mergeCells>
  <hyperlinks>
    <hyperlink ref="E2" location="'Table of Contents'!A1" display="Back to Table Of Contents" xr:uid="{08177E4A-3107-4D03-9700-95058C51F048}"/>
  </hyperlinks>
  <pageMargins left="0.5" right="0.5" top="0.5" bottom="0.5" header="0.5" footer="0.25"/>
  <pageSetup scale="90" orientation="portrait" r:id="rId1"/>
  <headerFooter alignWithMargins="0">
    <oddHeader>&amp;ROctober 2022</oddHeader>
    <oddFooter>&amp;CPage &amp;P of &amp;N&amp;R&amp;8&amp;F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1B2AB-5CBB-465D-B9BB-DB2F7C36889F}">
  <sheetPr codeName="Sheet19">
    <tabColor theme="6"/>
  </sheetPr>
  <dimension ref="A1:F99"/>
  <sheetViews>
    <sheetView tabSelected="1" zoomScaleNormal="100" workbookViewId="0">
      <selection activeCell="A114" sqref="A114:XFD114"/>
    </sheetView>
  </sheetViews>
  <sheetFormatPr defaultColWidth="8.85546875" defaultRowHeight="12.75" x14ac:dyDescent="0.2"/>
  <cols>
    <col min="1" max="1" width="15.140625" style="45" customWidth="1"/>
    <col min="2" max="2" width="8.85546875" style="45"/>
    <col min="3" max="3" width="26.85546875" style="45" bestFit="1" customWidth="1"/>
    <col min="4" max="4" width="9.7109375" style="45" customWidth="1"/>
    <col min="5" max="5" width="14.28515625" style="279" customWidth="1"/>
    <col min="6" max="6" width="15.28515625" style="45" customWidth="1"/>
    <col min="7" max="16384" width="8.85546875" style="45"/>
  </cols>
  <sheetData>
    <row r="1" spans="1:6" ht="18.75" x14ac:dyDescent="0.3">
      <c r="B1" s="288"/>
      <c r="C1" s="289"/>
      <c r="D1" s="228"/>
    </row>
    <row r="2" spans="1:6" ht="15.75" x14ac:dyDescent="0.25">
      <c r="B2" s="287"/>
      <c r="C2" s="289"/>
      <c r="D2" s="228"/>
      <c r="F2" s="132" t="s">
        <v>98</v>
      </c>
    </row>
    <row r="3" spans="1:6" x14ac:dyDescent="0.2">
      <c r="B3" s="286"/>
      <c r="C3" s="289"/>
      <c r="D3" s="228"/>
    </row>
    <row r="4" spans="1:6" x14ac:dyDescent="0.2">
      <c r="B4" s="286"/>
      <c r="C4" s="289"/>
      <c r="D4" s="228"/>
    </row>
    <row r="5" spans="1:6" ht="14.25" customHeight="1" x14ac:dyDescent="0.25">
      <c r="A5" s="749" t="s">
        <v>700</v>
      </c>
      <c r="B5" s="749"/>
      <c r="C5" s="749"/>
      <c r="D5" s="749"/>
      <c r="E5" s="749"/>
      <c r="F5" s="749"/>
    </row>
    <row r="6" spans="1:6" ht="14.25" customHeight="1" x14ac:dyDescent="0.25">
      <c r="A6" s="750" t="s">
        <v>330</v>
      </c>
      <c r="B6" s="750"/>
      <c r="C6" s="750"/>
      <c r="D6" s="750"/>
      <c r="E6" s="750"/>
      <c r="F6" s="750"/>
    </row>
    <row r="7" spans="1:6" ht="15" customHeight="1" x14ac:dyDescent="0.2">
      <c r="A7" s="743" t="s">
        <v>327</v>
      </c>
      <c r="B7" s="743" t="s">
        <v>183</v>
      </c>
      <c r="C7" s="751" t="s">
        <v>309</v>
      </c>
      <c r="D7" s="743" t="s">
        <v>699</v>
      </c>
      <c r="E7" s="743" t="s">
        <v>1663</v>
      </c>
      <c r="F7" s="743" t="s">
        <v>1664</v>
      </c>
    </row>
    <row r="8" spans="1:6" x14ac:dyDescent="0.2">
      <c r="A8" s="691"/>
      <c r="B8" s="691"/>
      <c r="C8" s="757"/>
      <c r="D8" s="744"/>
      <c r="E8" s="691"/>
      <c r="F8" s="691"/>
    </row>
    <row r="9" spans="1:6" ht="13.9" customHeight="1" x14ac:dyDescent="0.2">
      <c r="A9" s="283">
        <v>2021</v>
      </c>
      <c r="B9" s="307" t="s">
        <v>218</v>
      </c>
      <c r="C9" s="308" t="s">
        <v>359</v>
      </c>
      <c r="D9" s="309">
        <v>2</v>
      </c>
      <c r="E9" s="281">
        <v>1</v>
      </c>
      <c r="F9" s="304">
        <f>E9/D9</f>
        <v>0.5</v>
      </c>
    </row>
    <row r="10" spans="1:6" ht="13.9" customHeight="1" x14ac:dyDescent="0.2">
      <c r="A10" s="283">
        <v>2021</v>
      </c>
      <c r="B10" s="307" t="s">
        <v>218</v>
      </c>
      <c r="C10" s="308" t="s">
        <v>360</v>
      </c>
      <c r="D10" s="309">
        <v>1</v>
      </c>
      <c r="E10" s="281">
        <v>1</v>
      </c>
      <c r="F10" s="304">
        <f t="shared" ref="F10:F13" si="0">E10/D10</f>
        <v>1</v>
      </c>
    </row>
    <row r="11" spans="1:6" ht="13.9" customHeight="1" x14ac:dyDescent="0.2">
      <c r="A11" s="283">
        <v>2021</v>
      </c>
      <c r="B11" s="307" t="s">
        <v>218</v>
      </c>
      <c r="C11" s="308" t="s">
        <v>362</v>
      </c>
      <c r="D11" s="309">
        <v>2</v>
      </c>
      <c r="E11" s="281">
        <v>2</v>
      </c>
      <c r="F11" s="304">
        <f t="shared" si="0"/>
        <v>1</v>
      </c>
    </row>
    <row r="12" spans="1:6" ht="13.9" customHeight="1" x14ac:dyDescent="0.2">
      <c r="A12" s="283">
        <v>2021</v>
      </c>
      <c r="B12" s="307" t="s">
        <v>218</v>
      </c>
      <c r="C12" s="308" t="s">
        <v>369</v>
      </c>
      <c r="D12" s="309">
        <v>6</v>
      </c>
      <c r="E12" s="281">
        <v>4</v>
      </c>
      <c r="F12" s="304">
        <f t="shared" ref="F12" si="1">E12/D12</f>
        <v>0.66666666666666663</v>
      </c>
    </row>
    <row r="13" spans="1:6" ht="13.9" customHeight="1" x14ac:dyDescent="0.2">
      <c r="A13" s="283">
        <v>2021</v>
      </c>
      <c r="B13" s="307" t="s">
        <v>218</v>
      </c>
      <c r="C13" s="308" t="s">
        <v>370</v>
      </c>
      <c r="D13" s="309">
        <v>1</v>
      </c>
      <c r="E13" s="281">
        <v>1</v>
      </c>
      <c r="F13" s="304">
        <f t="shared" si="0"/>
        <v>1</v>
      </c>
    </row>
    <row r="14" spans="1:6" ht="13.9" customHeight="1" x14ac:dyDescent="0.2">
      <c r="A14" s="753" t="s">
        <v>310</v>
      </c>
      <c r="B14" s="754"/>
      <c r="C14" s="758"/>
      <c r="D14" s="265">
        <f>SUM(D9:D13)</f>
        <v>12</v>
      </c>
      <c r="E14" s="265">
        <f>SUM(E9:E13)</f>
        <v>9</v>
      </c>
      <c r="F14" s="306">
        <f>E14/D14</f>
        <v>0.75</v>
      </c>
    </row>
    <row r="15" spans="1:6" ht="3.6" customHeight="1" x14ac:dyDescent="0.2">
      <c r="C15" s="290"/>
      <c r="E15" s="281"/>
    </row>
    <row r="16" spans="1:6" ht="13.9" customHeight="1" x14ac:dyDescent="0.2">
      <c r="A16" s="743" t="s">
        <v>327</v>
      </c>
      <c r="B16" s="743" t="s">
        <v>183</v>
      </c>
      <c r="C16" s="751" t="s">
        <v>309</v>
      </c>
      <c r="D16" s="747" t="s">
        <v>72</v>
      </c>
      <c r="E16" s="743" t="str">
        <f>E7</f>
        <v># Continued to 2022 Fanuchånan</v>
      </c>
      <c r="F16" s="743" t="str">
        <f>F7</f>
        <v>% Continued to 2022 Fanuchånan</v>
      </c>
    </row>
    <row r="17" spans="1:6" x14ac:dyDescent="0.2">
      <c r="A17" s="691"/>
      <c r="B17" s="691"/>
      <c r="C17" s="757"/>
      <c r="D17" s="748"/>
      <c r="E17" s="691"/>
      <c r="F17" s="691"/>
    </row>
    <row r="18" spans="1:6" ht="13.9" customHeight="1" x14ac:dyDescent="0.2">
      <c r="A18" s="283">
        <v>2021</v>
      </c>
      <c r="B18" s="307" t="s">
        <v>222</v>
      </c>
      <c r="C18" s="308" t="s">
        <v>384</v>
      </c>
      <c r="D18" s="309">
        <v>2</v>
      </c>
      <c r="E18" s="281">
        <v>2</v>
      </c>
      <c r="F18" s="304">
        <f>E18/D18</f>
        <v>1</v>
      </c>
    </row>
    <row r="19" spans="1:6" ht="13.9" customHeight="1" x14ac:dyDescent="0.2">
      <c r="A19" s="283">
        <v>2021</v>
      </c>
      <c r="B19" s="307" t="s">
        <v>222</v>
      </c>
      <c r="C19" s="308" t="s">
        <v>378</v>
      </c>
      <c r="D19" s="309">
        <v>1</v>
      </c>
      <c r="E19" s="281">
        <v>0</v>
      </c>
      <c r="F19" s="304">
        <f>E19/D19</f>
        <v>0</v>
      </c>
    </row>
    <row r="20" spans="1:6" ht="13.9" customHeight="1" x14ac:dyDescent="0.2">
      <c r="A20" s="283">
        <v>2021</v>
      </c>
      <c r="B20" s="307" t="s">
        <v>222</v>
      </c>
      <c r="C20" s="308" t="s">
        <v>375</v>
      </c>
      <c r="D20" s="309">
        <v>8</v>
      </c>
      <c r="E20" s="281">
        <v>6</v>
      </c>
      <c r="F20" s="304">
        <f>E20/D20</f>
        <v>0.75</v>
      </c>
    </row>
    <row r="21" spans="1:6" ht="13.9" customHeight="1" x14ac:dyDescent="0.2">
      <c r="A21" s="753" t="s">
        <v>311</v>
      </c>
      <c r="B21" s="754"/>
      <c r="C21" s="758"/>
      <c r="D21" s="265">
        <f>SUM(D18:D20)</f>
        <v>11</v>
      </c>
      <c r="E21" s="265">
        <f>SUM(E18:E20)</f>
        <v>8</v>
      </c>
      <c r="F21" s="306">
        <f>E21/D21</f>
        <v>0.72727272727272729</v>
      </c>
    </row>
    <row r="22" spans="1:6" ht="3.6" customHeight="1" x14ac:dyDescent="0.2">
      <c r="C22" s="290"/>
      <c r="E22" s="281"/>
    </row>
    <row r="23" spans="1:6" ht="13.9" customHeight="1" x14ac:dyDescent="0.2">
      <c r="A23" s="743" t="s">
        <v>327</v>
      </c>
      <c r="B23" s="743" t="s">
        <v>183</v>
      </c>
      <c r="C23" s="751" t="s">
        <v>309</v>
      </c>
      <c r="D23" s="747" t="s">
        <v>72</v>
      </c>
      <c r="E23" s="743" t="str">
        <f>E7</f>
        <v># Continued to 2022 Fanuchånan</v>
      </c>
      <c r="F23" s="743" t="str">
        <f>F7</f>
        <v>% Continued to 2022 Fanuchånan</v>
      </c>
    </row>
    <row r="24" spans="1:6" x14ac:dyDescent="0.2">
      <c r="A24" s="691"/>
      <c r="B24" s="691"/>
      <c r="C24" s="757"/>
      <c r="D24" s="748"/>
      <c r="E24" s="691"/>
      <c r="F24" s="691"/>
    </row>
    <row r="25" spans="1:6" x14ac:dyDescent="0.2">
      <c r="A25" s="283">
        <v>2021</v>
      </c>
      <c r="B25" s="307" t="s">
        <v>226</v>
      </c>
      <c r="C25" s="308" t="s">
        <v>388</v>
      </c>
      <c r="D25" s="309">
        <v>4</v>
      </c>
      <c r="E25" s="281">
        <v>3</v>
      </c>
      <c r="F25" s="304">
        <f>E25/D25</f>
        <v>0.75</v>
      </c>
    </row>
    <row r="26" spans="1:6" x14ac:dyDescent="0.2">
      <c r="A26" s="753" t="s">
        <v>312</v>
      </c>
      <c r="B26" s="754"/>
      <c r="C26" s="758"/>
      <c r="D26" s="265">
        <f>D25</f>
        <v>4</v>
      </c>
      <c r="E26" s="265">
        <f>E25</f>
        <v>3</v>
      </c>
      <c r="F26" s="306">
        <f>E26/D26</f>
        <v>0.75</v>
      </c>
    </row>
    <row r="27" spans="1:6" ht="3.6" customHeight="1" x14ac:dyDescent="0.2">
      <c r="C27" s="290"/>
      <c r="E27" s="281"/>
    </row>
    <row r="28" spans="1:6" ht="23.25" customHeight="1" x14ac:dyDescent="0.2">
      <c r="A28" s="743" t="s">
        <v>327</v>
      </c>
      <c r="B28" s="743" t="s">
        <v>183</v>
      </c>
      <c r="C28" s="751" t="s">
        <v>309</v>
      </c>
      <c r="D28" s="747" t="s">
        <v>72</v>
      </c>
      <c r="E28" s="743" t="str">
        <f>E7</f>
        <v># Continued to 2022 Fanuchånan</v>
      </c>
      <c r="F28" s="743" t="str">
        <f>F7</f>
        <v>% Continued to 2022 Fanuchånan</v>
      </c>
    </row>
    <row r="29" spans="1:6" x14ac:dyDescent="0.2">
      <c r="A29" s="691"/>
      <c r="B29" s="691"/>
      <c r="C29" s="757"/>
      <c r="D29" s="748"/>
      <c r="E29" s="691"/>
      <c r="F29" s="691"/>
    </row>
    <row r="30" spans="1:6" x14ac:dyDescent="0.2">
      <c r="A30" s="283">
        <v>2021</v>
      </c>
      <c r="B30" s="307" t="s">
        <v>229</v>
      </c>
      <c r="C30" s="308" t="s">
        <v>389</v>
      </c>
      <c r="D30" s="309">
        <v>2</v>
      </c>
      <c r="E30" s="281">
        <v>1</v>
      </c>
      <c r="F30" s="304">
        <f>E30/D30</f>
        <v>0.5</v>
      </c>
    </row>
    <row r="31" spans="1:6" x14ac:dyDescent="0.2">
      <c r="A31" s="283">
        <v>2021</v>
      </c>
      <c r="B31" s="307" t="s">
        <v>229</v>
      </c>
      <c r="C31" s="308" t="s">
        <v>1665</v>
      </c>
      <c r="D31" s="309">
        <v>12</v>
      </c>
      <c r="E31" s="281">
        <v>9</v>
      </c>
      <c r="F31" s="304">
        <f t="shared" ref="F31:F33" si="2">E31/D31</f>
        <v>0.75</v>
      </c>
    </row>
    <row r="32" spans="1:6" ht="12.75" customHeight="1" x14ac:dyDescent="0.2">
      <c r="A32" s="283">
        <v>2021</v>
      </c>
      <c r="B32" s="307" t="s">
        <v>229</v>
      </c>
      <c r="C32" s="308" t="s">
        <v>390</v>
      </c>
      <c r="D32" s="309">
        <v>8</v>
      </c>
      <c r="E32" s="281">
        <v>5</v>
      </c>
      <c r="F32" s="304">
        <f t="shared" si="2"/>
        <v>0.625</v>
      </c>
    </row>
    <row r="33" spans="1:6" x14ac:dyDescent="0.2">
      <c r="A33" s="283">
        <v>2021</v>
      </c>
      <c r="B33" s="307" t="s">
        <v>229</v>
      </c>
      <c r="C33" s="308" t="s">
        <v>392</v>
      </c>
      <c r="D33" s="309">
        <v>2</v>
      </c>
      <c r="E33" s="281">
        <v>2</v>
      </c>
      <c r="F33" s="304">
        <f t="shared" si="2"/>
        <v>1</v>
      </c>
    </row>
    <row r="34" spans="1:6" x14ac:dyDescent="0.2">
      <c r="A34" s="753" t="s">
        <v>313</v>
      </c>
      <c r="B34" s="754"/>
      <c r="C34" s="758"/>
      <c r="D34" s="265">
        <f>SUM(D30:D33)</f>
        <v>24</v>
      </c>
      <c r="E34" s="265">
        <f>SUM(E30:E33)</f>
        <v>17</v>
      </c>
      <c r="F34" s="306">
        <f>E34/D34</f>
        <v>0.70833333333333337</v>
      </c>
    </row>
    <row r="35" spans="1:6" ht="3.6" customHeight="1" x14ac:dyDescent="0.2">
      <c r="C35" s="290"/>
      <c r="E35" s="281"/>
    </row>
    <row r="36" spans="1:6" ht="13.9" customHeight="1" x14ac:dyDescent="0.2">
      <c r="A36" s="743" t="s">
        <v>327</v>
      </c>
      <c r="B36" s="743" t="s">
        <v>183</v>
      </c>
      <c r="C36" s="751" t="s">
        <v>309</v>
      </c>
      <c r="D36" s="747" t="s">
        <v>72</v>
      </c>
      <c r="E36" s="743" t="str">
        <f>E7</f>
        <v># Continued to 2022 Fanuchånan</v>
      </c>
      <c r="F36" s="743" t="str">
        <f>F7</f>
        <v>% Continued to 2022 Fanuchånan</v>
      </c>
    </row>
    <row r="37" spans="1:6" x14ac:dyDescent="0.2">
      <c r="A37" s="691"/>
      <c r="B37" s="691"/>
      <c r="C37" s="757"/>
      <c r="D37" s="748"/>
      <c r="E37" s="691"/>
      <c r="F37" s="691"/>
    </row>
    <row r="38" spans="1:6" ht="12.75" customHeight="1" x14ac:dyDescent="0.2">
      <c r="A38" s="283">
        <v>2021</v>
      </c>
      <c r="B38" s="307" t="s">
        <v>276</v>
      </c>
      <c r="C38" s="308" t="s">
        <v>340</v>
      </c>
      <c r="D38" s="309">
        <v>5</v>
      </c>
      <c r="E38" s="281">
        <v>4</v>
      </c>
      <c r="F38" s="304">
        <f>E38/D38</f>
        <v>0.8</v>
      </c>
    </row>
    <row r="39" spans="1:6" x14ac:dyDescent="0.2">
      <c r="A39" s="753" t="s">
        <v>314</v>
      </c>
      <c r="B39" s="754"/>
      <c r="C39" s="758"/>
      <c r="D39" s="265">
        <f>D38</f>
        <v>5</v>
      </c>
      <c r="E39" s="265">
        <f>E38</f>
        <v>4</v>
      </c>
      <c r="F39" s="306">
        <f>E39/D39</f>
        <v>0.8</v>
      </c>
    </row>
    <row r="40" spans="1:6" ht="3.6" customHeight="1" x14ac:dyDescent="0.2">
      <c r="C40" s="290"/>
      <c r="E40" s="281"/>
    </row>
    <row r="41" spans="1:6" ht="12.75" customHeight="1" x14ac:dyDescent="0.2">
      <c r="A41" s="743" t="s">
        <v>327</v>
      </c>
      <c r="B41" s="743" t="s">
        <v>183</v>
      </c>
      <c r="C41" s="751" t="s">
        <v>309</v>
      </c>
      <c r="D41" s="747" t="s">
        <v>72</v>
      </c>
      <c r="E41" s="743" t="str">
        <f>E7</f>
        <v># Continued to 2022 Fanuchånan</v>
      </c>
      <c r="F41" s="743" t="str">
        <f>F7</f>
        <v>% Continued to 2022 Fanuchånan</v>
      </c>
    </row>
    <row r="42" spans="1:6" x14ac:dyDescent="0.2">
      <c r="A42" s="691"/>
      <c r="B42" s="691"/>
      <c r="C42" s="757"/>
      <c r="D42" s="748"/>
      <c r="E42" s="691"/>
      <c r="F42" s="691"/>
    </row>
    <row r="43" spans="1:6" ht="12.75" customHeight="1" x14ac:dyDescent="0.2">
      <c r="A43" s="283">
        <v>2021</v>
      </c>
      <c r="B43" s="307" t="s">
        <v>233</v>
      </c>
      <c r="C43" s="308" t="s">
        <v>395</v>
      </c>
      <c r="D43" s="320">
        <v>6</v>
      </c>
      <c r="E43" s="281">
        <v>2</v>
      </c>
      <c r="F43" s="536">
        <f>E43/D43</f>
        <v>0.33333333333333331</v>
      </c>
    </row>
    <row r="44" spans="1:6" ht="12.75" customHeight="1" x14ac:dyDescent="0.2">
      <c r="A44" s="283">
        <v>2021</v>
      </c>
      <c r="B44" s="307" t="s">
        <v>233</v>
      </c>
      <c r="C44" s="308" t="s">
        <v>397</v>
      </c>
      <c r="D44" s="320">
        <v>5</v>
      </c>
      <c r="E44" s="281">
        <v>3</v>
      </c>
      <c r="F44" s="536">
        <f>E44/D44</f>
        <v>0.6</v>
      </c>
    </row>
    <row r="45" spans="1:6" x14ac:dyDescent="0.2">
      <c r="A45" s="753" t="s">
        <v>315</v>
      </c>
      <c r="B45" s="754"/>
      <c r="C45" s="758"/>
      <c r="D45" s="265">
        <f>SUM(D43:D44)</f>
        <v>11</v>
      </c>
      <c r="E45" s="265">
        <f>SUM(E43:E44)</f>
        <v>5</v>
      </c>
      <c r="F45" s="306">
        <f>E45/D45</f>
        <v>0.45454545454545453</v>
      </c>
    </row>
    <row r="46" spans="1:6" ht="3.6" customHeight="1" x14ac:dyDescent="0.2">
      <c r="C46" s="290"/>
    </row>
    <row r="47" spans="1:6" ht="13.9" customHeight="1" x14ac:dyDescent="0.2">
      <c r="A47" s="743" t="s">
        <v>327</v>
      </c>
      <c r="B47" s="743" t="s">
        <v>183</v>
      </c>
      <c r="C47" s="751" t="s">
        <v>309</v>
      </c>
      <c r="D47" s="747" t="s">
        <v>72</v>
      </c>
      <c r="E47" s="743" t="str">
        <f>E7</f>
        <v># Continued to 2022 Fanuchånan</v>
      </c>
      <c r="F47" s="743" t="str">
        <f>F7</f>
        <v>% Continued to 2022 Fanuchånan</v>
      </c>
    </row>
    <row r="48" spans="1:6" x14ac:dyDescent="0.2">
      <c r="A48" s="691"/>
      <c r="B48" s="691"/>
      <c r="C48" s="757"/>
      <c r="D48" s="748"/>
      <c r="E48" s="691"/>
      <c r="F48" s="691"/>
    </row>
    <row r="49" spans="1:6" ht="12.75" customHeight="1" x14ac:dyDescent="0.2">
      <c r="A49" s="283">
        <v>2021</v>
      </c>
      <c r="B49" s="307" t="s">
        <v>324</v>
      </c>
      <c r="C49" s="308" t="s">
        <v>293</v>
      </c>
      <c r="D49" s="309">
        <v>5</v>
      </c>
      <c r="E49" s="281">
        <v>4</v>
      </c>
      <c r="F49" s="321">
        <f>E49/D49</f>
        <v>0.8</v>
      </c>
    </row>
    <row r="50" spans="1:6" x14ac:dyDescent="0.2">
      <c r="A50" s="283">
        <v>2021</v>
      </c>
      <c r="B50" s="307" t="s">
        <v>324</v>
      </c>
      <c r="C50" s="308" t="s">
        <v>404</v>
      </c>
      <c r="D50" s="309">
        <v>5</v>
      </c>
      <c r="E50" s="281">
        <v>1</v>
      </c>
      <c r="F50" s="321">
        <f t="shared" ref="F50:F52" si="3">E50/D50</f>
        <v>0.2</v>
      </c>
    </row>
    <row r="51" spans="1:6" x14ac:dyDescent="0.2">
      <c r="A51" s="283">
        <v>2021</v>
      </c>
      <c r="B51" s="307" t="s">
        <v>324</v>
      </c>
      <c r="C51" s="308" t="s">
        <v>382</v>
      </c>
      <c r="D51" s="309">
        <v>4</v>
      </c>
      <c r="E51" s="281">
        <v>4</v>
      </c>
      <c r="F51" s="321">
        <f t="shared" ref="F51" si="4">E51/D51</f>
        <v>1</v>
      </c>
    </row>
    <row r="52" spans="1:6" x14ac:dyDescent="0.2">
      <c r="A52" s="283">
        <v>2021</v>
      </c>
      <c r="B52" s="307" t="s">
        <v>324</v>
      </c>
      <c r="C52" s="308" t="s">
        <v>405</v>
      </c>
      <c r="D52" s="309">
        <v>1</v>
      </c>
      <c r="E52" s="281">
        <v>1</v>
      </c>
      <c r="F52" s="321">
        <f t="shared" si="3"/>
        <v>1</v>
      </c>
    </row>
    <row r="53" spans="1:6" x14ac:dyDescent="0.2">
      <c r="A53" s="753" t="s">
        <v>338</v>
      </c>
      <c r="B53" s="754"/>
      <c r="C53" s="758"/>
      <c r="D53" s="265">
        <f>SUM(D49:D52)</f>
        <v>15</v>
      </c>
      <c r="E53" s="265">
        <f>SUM(E49:E52)</f>
        <v>10</v>
      </c>
      <c r="F53" s="306">
        <f>E53/D53</f>
        <v>0.66666666666666663</v>
      </c>
    </row>
    <row r="54" spans="1:6" ht="3.6" customHeight="1" x14ac:dyDescent="0.2">
      <c r="C54" s="290"/>
    </row>
    <row r="55" spans="1:6" x14ac:dyDescent="0.2">
      <c r="A55" s="745" t="s">
        <v>239</v>
      </c>
      <c r="B55" s="756"/>
      <c r="C55" s="746"/>
      <c r="D55" s="267">
        <f>D53+D45+D39+D34+D26+D21+D14</f>
        <v>82</v>
      </c>
      <c r="E55" s="267">
        <f>E53+E45+E39+E34+E26+E21+E14</f>
        <v>56</v>
      </c>
      <c r="F55" s="268">
        <f>E55/D55</f>
        <v>0.68292682926829273</v>
      </c>
    </row>
    <row r="56" spans="1:6" ht="12.75" customHeight="1" x14ac:dyDescent="0.2"/>
    <row r="63" spans="1:6" ht="12.75" customHeight="1" x14ac:dyDescent="0.2"/>
    <row r="75" ht="12.75" customHeight="1" x14ac:dyDescent="0.2"/>
    <row r="80" ht="12.75" customHeight="1" x14ac:dyDescent="0.2"/>
    <row r="87" ht="12.75" customHeight="1" x14ac:dyDescent="0.2"/>
    <row r="92" ht="12.75" customHeight="1" x14ac:dyDescent="0.2"/>
    <row r="99" ht="12.75" customHeight="1" x14ac:dyDescent="0.2"/>
  </sheetData>
  <mergeCells count="52">
    <mergeCell ref="A53:C53"/>
    <mergeCell ref="A55:C55"/>
    <mergeCell ref="A45:C45"/>
    <mergeCell ref="A47:A48"/>
    <mergeCell ref="B47:B48"/>
    <mergeCell ref="C47:C48"/>
    <mergeCell ref="D47:D48"/>
    <mergeCell ref="F47:F48"/>
    <mergeCell ref="A39:C39"/>
    <mergeCell ref="A41:A42"/>
    <mergeCell ref="B41:B42"/>
    <mergeCell ref="C41:C42"/>
    <mergeCell ref="D41:D42"/>
    <mergeCell ref="F41:F42"/>
    <mergeCell ref="E47:E48"/>
    <mergeCell ref="E41:E42"/>
    <mergeCell ref="F36:F37"/>
    <mergeCell ref="A26:C26"/>
    <mergeCell ref="A28:A29"/>
    <mergeCell ref="B28:B29"/>
    <mergeCell ref="C28:C29"/>
    <mergeCell ref="D28:D29"/>
    <mergeCell ref="F28:F29"/>
    <mergeCell ref="A34:C34"/>
    <mergeCell ref="A36:A37"/>
    <mergeCell ref="B36:B37"/>
    <mergeCell ref="C36:C37"/>
    <mergeCell ref="D36:D37"/>
    <mergeCell ref="E28:E29"/>
    <mergeCell ref="E36:E37"/>
    <mergeCell ref="F23:F24"/>
    <mergeCell ref="A14:C14"/>
    <mergeCell ref="A16:A17"/>
    <mergeCell ref="B16:B17"/>
    <mergeCell ref="C16:C17"/>
    <mergeCell ref="D16:D17"/>
    <mergeCell ref="F16:F17"/>
    <mergeCell ref="A21:C21"/>
    <mergeCell ref="A23:A24"/>
    <mergeCell ref="B23:B24"/>
    <mergeCell ref="C23:C24"/>
    <mergeCell ref="D23:D24"/>
    <mergeCell ref="E16:E17"/>
    <mergeCell ref="E23:E24"/>
    <mergeCell ref="A5:F5"/>
    <mergeCell ref="A6:F6"/>
    <mergeCell ref="A7:A8"/>
    <mergeCell ref="B7:B8"/>
    <mergeCell ref="C7:C8"/>
    <mergeCell ref="D7:D8"/>
    <mergeCell ref="F7:F8"/>
    <mergeCell ref="E7:E8"/>
  </mergeCells>
  <hyperlinks>
    <hyperlink ref="F2" location="'Table of Contents'!A1" display="Back to Table Of Contents" xr:uid="{A7292F26-5D63-4819-886B-77BBDD348A04}"/>
  </hyperlinks>
  <pageMargins left="0.5" right="0.5" top="0.5" bottom="0.5" header="0.5" footer="0.25"/>
  <pageSetup scale="90" orientation="portrait" r:id="rId1"/>
  <headerFooter alignWithMargins="0">
    <oddHeader>&amp;ROctober 2022</oddHeader>
    <oddFooter>&amp;CPage &amp;P of 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/>
    <pageSetUpPr fitToPage="1"/>
  </sheetPr>
  <dimension ref="A1:Q201"/>
  <sheetViews>
    <sheetView zoomScale="80" zoomScaleNormal="80" zoomScalePageLayoutView="90" workbookViewId="0">
      <selection activeCell="A86" sqref="A86:N86"/>
    </sheetView>
  </sheetViews>
  <sheetFormatPr defaultColWidth="9.140625" defaultRowHeight="12.75" x14ac:dyDescent="0.2"/>
  <cols>
    <col min="1" max="1" width="22.140625" style="29" customWidth="1"/>
    <col min="2" max="2" width="7.5703125" style="29" hidden="1" customWidth="1"/>
    <col min="3" max="3" width="9.28515625" style="29" customWidth="1"/>
    <col min="4" max="4" width="10.7109375" style="29" customWidth="1"/>
    <col min="5" max="6" width="9.28515625" style="29" customWidth="1"/>
    <col min="7" max="7" width="10.7109375" style="29" customWidth="1"/>
    <col min="8" max="9" width="9.28515625" style="29" customWidth="1"/>
    <col min="10" max="10" width="10.5703125" style="29" customWidth="1"/>
    <col min="11" max="12" width="9.28515625" style="29" customWidth="1"/>
    <col min="13" max="13" width="10.5703125" style="29" customWidth="1"/>
    <col min="14" max="14" width="9.28515625" style="29" customWidth="1"/>
    <col min="15" max="16384" width="9.140625" style="29"/>
  </cols>
  <sheetData>
    <row r="1" spans="1:17" ht="18.75" x14ac:dyDescent="0.3">
      <c r="C1" s="360"/>
    </row>
    <row r="2" spans="1:17" ht="15.75" x14ac:dyDescent="0.25">
      <c r="C2" s="361"/>
      <c r="I2" s="362"/>
      <c r="L2" s="362" t="s">
        <v>98</v>
      </c>
    </row>
    <row r="3" spans="1:17" x14ac:dyDescent="0.2">
      <c r="C3" s="363"/>
    </row>
    <row r="4" spans="1:17" x14ac:dyDescent="0.2">
      <c r="C4" s="27"/>
      <c r="K4" s="364"/>
    </row>
    <row r="6" spans="1:17" ht="15.75" x14ac:dyDescent="0.25">
      <c r="A6" s="597" t="s">
        <v>1426</v>
      </c>
      <c r="B6" s="597"/>
      <c r="C6" s="597"/>
      <c r="D6" s="597"/>
      <c r="E6" s="597"/>
      <c r="F6" s="597"/>
      <c r="G6" s="597"/>
      <c r="H6" s="597"/>
      <c r="I6" s="597"/>
      <c r="J6" s="597"/>
      <c r="K6" s="597"/>
      <c r="L6" s="597"/>
      <c r="M6" s="597"/>
      <c r="N6" s="597"/>
      <c r="O6" s="365"/>
      <c r="P6" s="365"/>
      <c r="Q6" s="365"/>
    </row>
    <row r="7" spans="1:17" ht="13.5" thickBot="1" x14ac:dyDescent="0.25"/>
    <row r="8" spans="1:17" ht="18.75" x14ac:dyDescent="0.3">
      <c r="A8" s="600" t="s">
        <v>19</v>
      </c>
      <c r="B8" s="601"/>
      <c r="C8" s="601"/>
      <c r="D8" s="601"/>
      <c r="E8" s="601"/>
      <c r="F8" s="601"/>
      <c r="G8" s="601"/>
      <c r="H8" s="601"/>
      <c r="I8" s="601"/>
      <c r="J8" s="601"/>
      <c r="K8" s="601"/>
      <c r="L8" s="601"/>
      <c r="M8" s="601"/>
      <c r="N8" s="602"/>
    </row>
    <row r="9" spans="1:17" x14ac:dyDescent="0.2">
      <c r="A9" s="366"/>
      <c r="B9" s="367"/>
      <c r="C9" s="603" t="s">
        <v>20</v>
      </c>
      <c r="D9" s="603"/>
      <c r="E9" s="603"/>
      <c r="F9" s="603" t="s">
        <v>21</v>
      </c>
      <c r="G9" s="603"/>
      <c r="H9" s="603"/>
      <c r="I9" s="603" t="s">
        <v>20</v>
      </c>
      <c r="J9" s="603"/>
      <c r="K9" s="603"/>
      <c r="L9" s="603" t="s">
        <v>22</v>
      </c>
      <c r="M9" s="603"/>
      <c r="N9" s="603"/>
    </row>
    <row r="10" spans="1:17" x14ac:dyDescent="0.2">
      <c r="A10" s="368"/>
      <c r="B10" s="369"/>
      <c r="C10" s="598" t="s">
        <v>23</v>
      </c>
      <c r="D10" s="598"/>
      <c r="E10" s="598"/>
      <c r="F10" s="598" t="s">
        <v>23</v>
      </c>
      <c r="G10" s="598"/>
      <c r="H10" s="598"/>
      <c r="I10" s="599" t="s">
        <v>1427</v>
      </c>
      <c r="J10" s="599"/>
      <c r="K10" s="599"/>
      <c r="L10" s="598" t="s">
        <v>25</v>
      </c>
      <c r="M10" s="598"/>
      <c r="N10" s="598"/>
    </row>
    <row r="11" spans="1:17" ht="13.5" thickBot="1" x14ac:dyDescent="0.25">
      <c r="A11" s="368" t="s">
        <v>128</v>
      </c>
      <c r="B11" s="369"/>
      <c r="C11" s="371" t="s">
        <v>72</v>
      </c>
      <c r="D11" s="371" t="s">
        <v>115</v>
      </c>
      <c r="E11" s="371" t="s">
        <v>116</v>
      </c>
      <c r="F11" s="371" t="s">
        <v>72</v>
      </c>
      <c r="G11" s="371" t="s">
        <v>115</v>
      </c>
      <c r="H11" s="371" t="s">
        <v>116</v>
      </c>
      <c r="I11" s="371" t="s">
        <v>72</v>
      </c>
      <c r="J11" s="371" t="s">
        <v>115</v>
      </c>
      <c r="K11" s="371" t="s">
        <v>116</v>
      </c>
      <c r="L11" s="371" t="s">
        <v>72</v>
      </c>
      <c r="M11" s="371" t="s">
        <v>115</v>
      </c>
      <c r="N11" s="371" t="s">
        <v>116</v>
      </c>
    </row>
    <row r="12" spans="1:17" ht="18" customHeight="1" thickBot="1" x14ac:dyDescent="0.25">
      <c r="A12" s="537" t="s">
        <v>643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4"/>
    </row>
    <row r="13" spans="1:17" s="136" customFormat="1" ht="22.5" customHeight="1" x14ac:dyDescent="0.2">
      <c r="A13" s="375" t="s">
        <v>1432</v>
      </c>
      <c r="B13" s="376"/>
      <c r="C13" s="376">
        <v>2585</v>
      </c>
      <c r="D13" s="376">
        <v>32110.73</v>
      </c>
      <c r="E13" s="376">
        <f>D13/12</f>
        <v>2675.8941666666665</v>
      </c>
      <c r="F13" s="376">
        <v>286</v>
      </c>
      <c r="G13" s="376">
        <v>1816</v>
      </c>
      <c r="H13" s="376">
        <f>G13/9</f>
        <v>201.77777777777777</v>
      </c>
      <c r="I13" s="376">
        <v>29</v>
      </c>
      <c r="J13" s="376">
        <v>149</v>
      </c>
      <c r="K13" s="376">
        <f>J13/12</f>
        <v>12.416666666666666</v>
      </c>
      <c r="L13" s="376">
        <f t="shared" ref="L13" si="0">C13+F13+I13</f>
        <v>2900</v>
      </c>
      <c r="M13" s="376">
        <f t="shared" ref="M13" si="1">D13+G13+J13</f>
        <v>34075.729999999996</v>
      </c>
      <c r="N13" s="377">
        <f t="shared" ref="N13" si="2">E13+H13+K13</f>
        <v>2890.0886111111108</v>
      </c>
    </row>
    <row r="14" spans="1:17" x14ac:dyDescent="0.2">
      <c r="A14" s="378" t="s">
        <v>641</v>
      </c>
      <c r="B14" s="379"/>
      <c r="C14" s="379">
        <v>2706</v>
      </c>
      <c r="D14" s="379">
        <v>33432</v>
      </c>
      <c r="E14" s="379">
        <v>2786</v>
      </c>
      <c r="F14" s="379">
        <v>316</v>
      </c>
      <c r="G14" s="379">
        <v>2142</v>
      </c>
      <c r="H14" s="379">
        <v>238</v>
      </c>
      <c r="I14" s="379">
        <v>25</v>
      </c>
      <c r="J14" s="379">
        <v>160</v>
      </c>
      <c r="K14" s="379">
        <v>13.333333333333334</v>
      </c>
      <c r="L14" s="379">
        <v>3047</v>
      </c>
      <c r="M14" s="379">
        <v>35734</v>
      </c>
      <c r="N14" s="380">
        <v>3037.3333333333335</v>
      </c>
    </row>
    <row r="15" spans="1:17" x14ac:dyDescent="0.2">
      <c r="A15" s="378" t="s">
        <v>348</v>
      </c>
      <c r="B15" s="379"/>
      <c r="C15" s="379">
        <v>3068</v>
      </c>
      <c r="D15" s="379">
        <v>38805</v>
      </c>
      <c r="E15" s="379">
        <f>D15/12</f>
        <v>3233.75</v>
      </c>
      <c r="F15" s="379">
        <v>323</v>
      </c>
      <c r="G15" s="379">
        <v>2054</v>
      </c>
      <c r="H15" s="379">
        <f>G15/9</f>
        <v>228.22222222222223</v>
      </c>
      <c r="I15" s="379">
        <v>21</v>
      </c>
      <c r="J15" s="379">
        <v>108</v>
      </c>
      <c r="K15" s="379">
        <f>J15/12</f>
        <v>9</v>
      </c>
      <c r="L15" s="379">
        <f t="shared" ref="L15" si="3">C15+F15+I15</f>
        <v>3412</v>
      </c>
      <c r="M15" s="379">
        <f t="shared" ref="M15" si="4">D15+G15+J15</f>
        <v>40967</v>
      </c>
      <c r="N15" s="380">
        <f t="shared" ref="N15" si="5">E15+H15+K15</f>
        <v>3470.9722222222222</v>
      </c>
    </row>
    <row r="16" spans="1:17" x14ac:dyDescent="0.2">
      <c r="A16" s="378" t="s">
        <v>322</v>
      </c>
      <c r="B16" s="379"/>
      <c r="C16" s="379">
        <v>3127</v>
      </c>
      <c r="D16" s="379">
        <v>39789</v>
      </c>
      <c r="E16" s="379">
        <f>D16/12</f>
        <v>3315.75</v>
      </c>
      <c r="F16" s="379">
        <v>341</v>
      </c>
      <c r="G16" s="379">
        <v>2333</v>
      </c>
      <c r="H16" s="379">
        <f>G16/9</f>
        <v>259.22222222222223</v>
      </c>
      <c r="I16" s="379">
        <v>41</v>
      </c>
      <c r="J16" s="379">
        <v>282</v>
      </c>
      <c r="K16" s="379">
        <f>J16/12</f>
        <v>23.5</v>
      </c>
      <c r="L16" s="379">
        <f t="shared" ref="L16:N17" si="6">C16+F16+I16</f>
        <v>3509</v>
      </c>
      <c r="M16" s="379">
        <f t="shared" si="6"/>
        <v>42404</v>
      </c>
      <c r="N16" s="380">
        <f t="shared" si="6"/>
        <v>3598.4722222222222</v>
      </c>
    </row>
    <row r="17" spans="1:16" x14ac:dyDescent="0.2">
      <c r="A17" s="378" t="s">
        <v>297</v>
      </c>
      <c r="B17" s="379"/>
      <c r="C17" s="379">
        <v>3326</v>
      </c>
      <c r="D17" s="379">
        <v>42164</v>
      </c>
      <c r="E17" s="379">
        <f>D17/12</f>
        <v>3513.6666666666665</v>
      </c>
      <c r="F17" s="379">
        <v>312</v>
      </c>
      <c r="G17" s="379">
        <v>2188</v>
      </c>
      <c r="H17" s="379">
        <f>G17/9</f>
        <v>243.11111111111111</v>
      </c>
      <c r="I17" s="379">
        <v>41</v>
      </c>
      <c r="J17" s="379">
        <v>242</v>
      </c>
      <c r="K17" s="379">
        <f>J17/12</f>
        <v>20.166666666666668</v>
      </c>
      <c r="L17" s="379">
        <f t="shared" si="6"/>
        <v>3679</v>
      </c>
      <c r="M17" s="379">
        <f t="shared" si="6"/>
        <v>44594</v>
      </c>
      <c r="N17" s="380">
        <f t="shared" si="6"/>
        <v>3776.9444444444443</v>
      </c>
    </row>
    <row r="18" spans="1:16" x14ac:dyDescent="0.2">
      <c r="A18" s="378" t="s">
        <v>287</v>
      </c>
      <c r="B18" s="379"/>
      <c r="C18" s="379">
        <v>3478</v>
      </c>
      <c r="D18" s="379">
        <v>43660</v>
      </c>
      <c r="E18" s="379">
        <f>D18/12</f>
        <v>3638.3333333333335</v>
      </c>
      <c r="F18" s="379">
        <v>322</v>
      </c>
      <c r="G18" s="379">
        <v>2151</v>
      </c>
      <c r="H18" s="379">
        <f>G18/9</f>
        <v>239</v>
      </c>
      <c r="I18" s="379">
        <v>44</v>
      </c>
      <c r="J18" s="379">
        <v>187</v>
      </c>
      <c r="K18" s="379">
        <f>J18/12</f>
        <v>15.583333333333334</v>
      </c>
      <c r="L18" s="379">
        <f t="shared" ref="L18:N20" si="7">+C18+F18+I18</f>
        <v>3844</v>
      </c>
      <c r="M18" s="379">
        <f t="shared" si="7"/>
        <v>45998</v>
      </c>
      <c r="N18" s="380">
        <f t="shared" si="7"/>
        <v>3892.916666666667</v>
      </c>
    </row>
    <row r="19" spans="1:16" x14ac:dyDescent="0.2">
      <c r="A19" s="378" t="s">
        <v>211</v>
      </c>
      <c r="B19" s="379"/>
      <c r="C19" s="379">
        <v>3471</v>
      </c>
      <c r="D19" s="379">
        <v>43117</v>
      </c>
      <c r="E19" s="379">
        <f t="shared" ref="E19:E32" si="8">D19/12</f>
        <v>3593.0833333333335</v>
      </c>
      <c r="F19" s="379">
        <v>300</v>
      </c>
      <c r="G19" s="379">
        <v>2113</v>
      </c>
      <c r="H19" s="379">
        <f t="shared" ref="H19:H33" si="9">G19/9</f>
        <v>234.77777777777777</v>
      </c>
      <c r="I19" s="379">
        <v>39</v>
      </c>
      <c r="J19" s="379">
        <v>274</v>
      </c>
      <c r="K19" s="379">
        <f t="shared" ref="K19:K33" si="10">J19/12</f>
        <v>22.833333333333332</v>
      </c>
      <c r="L19" s="379">
        <f t="shared" si="7"/>
        <v>3810</v>
      </c>
      <c r="M19" s="379">
        <f t="shared" si="7"/>
        <v>45504</v>
      </c>
      <c r="N19" s="380">
        <f t="shared" si="7"/>
        <v>3850.6944444444448</v>
      </c>
    </row>
    <row r="20" spans="1:16" x14ac:dyDescent="0.2">
      <c r="A20" s="378" t="s">
        <v>208</v>
      </c>
      <c r="B20" s="379"/>
      <c r="C20" s="379">
        <v>3593</v>
      </c>
      <c r="D20" s="379">
        <v>43832</v>
      </c>
      <c r="E20" s="379">
        <f t="shared" si="8"/>
        <v>3652.6666666666665</v>
      </c>
      <c r="F20" s="379">
        <v>280</v>
      </c>
      <c r="G20" s="379">
        <v>1969</v>
      </c>
      <c r="H20" s="379">
        <f t="shared" si="9"/>
        <v>218.77777777777777</v>
      </c>
      <c r="I20" s="379">
        <v>44</v>
      </c>
      <c r="J20" s="379">
        <v>330</v>
      </c>
      <c r="K20" s="379">
        <f t="shared" si="10"/>
        <v>27.5</v>
      </c>
      <c r="L20" s="379">
        <f t="shared" si="7"/>
        <v>3917</v>
      </c>
      <c r="M20" s="379">
        <f t="shared" si="7"/>
        <v>46131</v>
      </c>
      <c r="N20" s="380">
        <f t="shared" si="7"/>
        <v>3898.9444444444443</v>
      </c>
    </row>
    <row r="21" spans="1:16" x14ac:dyDescent="0.2">
      <c r="A21" s="378" t="s">
        <v>203</v>
      </c>
      <c r="B21" s="379"/>
      <c r="C21" s="379">
        <v>3568</v>
      </c>
      <c r="D21" s="379">
        <v>44019</v>
      </c>
      <c r="E21" s="379">
        <f t="shared" si="8"/>
        <v>3668.25</v>
      </c>
      <c r="F21" s="379">
        <v>292</v>
      </c>
      <c r="G21" s="379">
        <v>2010</v>
      </c>
      <c r="H21" s="379">
        <f t="shared" si="9"/>
        <v>223.33333333333334</v>
      </c>
      <c r="I21" s="379">
        <v>52</v>
      </c>
      <c r="J21" s="379">
        <v>334</v>
      </c>
      <c r="K21" s="379">
        <f t="shared" si="10"/>
        <v>27.833333333333332</v>
      </c>
      <c r="L21" s="379">
        <f t="shared" ref="L21:N22" si="11">+C21+F21+I21</f>
        <v>3912</v>
      </c>
      <c r="M21" s="379">
        <f t="shared" si="11"/>
        <v>46363</v>
      </c>
      <c r="N21" s="380">
        <f t="shared" si="11"/>
        <v>3919.416666666667</v>
      </c>
    </row>
    <row r="22" spans="1:16" x14ac:dyDescent="0.2">
      <c r="A22" s="378" t="s">
        <v>179</v>
      </c>
      <c r="B22" s="379"/>
      <c r="C22" s="379">
        <v>3439</v>
      </c>
      <c r="D22" s="379">
        <v>42594</v>
      </c>
      <c r="E22" s="379">
        <f t="shared" si="8"/>
        <v>3549.5</v>
      </c>
      <c r="F22" s="379">
        <v>298</v>
      </c>
      <c r="G22" s="379">
        <v>2045</v>
      </c>
      <c r="H22" s="379">
        <f t="shared" si="9"/>
        <v>227.22222222222223</v>
      </c>
      <c r="I22" s="379">
        <v>44</v>
      </c>
      <c r="J22" s="379">
        <v>276</v>
      </c>
      <c r="K22" s="379">
        <f t="shared" si="10"/>
        <v>23</v>
      </c>
      <c r="L22" s="379">
        <f t="shared" si="11"/>
        <v>3781</v>
      </c>
      <c r="M22" s="379">
        <f t="shared" si="11"/>
        <v>44915</v>
      </c>
      <c r="N22" s="380">
        <f t="shared" si="11"/>
        <v>3799.7222222222222</v>
      </c>
    </row>
    <row r="23" spans="1:16" x14ac:dyDescent="0.2">
      <c r="A23" s="378" t="s">
        <v>163</v>
      </c>
      <c r="B23" s="379"/>
      <c r="C23" s="379">
        <v>3320</v>
      </c>
      <c r="D23" s="379">
        <v>40585</v>
      </c>
      <c r="E23" s="379">
        <f t="shared" si="8"/>
        <v>3382.0833333333335</v>
      </c>
      <c r="F23" s="379">
        <v>281</v>
      </c>
      <c r="G23" s="379">
        <v>2154</v>
      </c>
      <c r="H23" s="379">
        <f t="shared" si="9"/>
        <v>239.33333333333334</v>
      </c>
      <c r="I23" s="379">
        <v>44</v>
      </c>
      <c r="J23" s="379">
        <v>299</v>
      </c>
      <c r="K23" s="379">
        <f t="shared" si="10"/>
        <v>24.916666666666668</v>
      </c>
      <c r="L23" s="379">
        <f t="shared" ref="L23:N24" si="12">+C23+F23+I23</f>
        <v>3645</v>
      </c>
      <c r="M23" s="379">
        <f t="shared" si="12"/>
        <v>43038</v>
      </c>
      <c r="N23" s="380">
        <f t="shared" si="12"/>
        <v>3646.3333333333335</v>
      </c>
    </row>
    <row r="24" spans="1:16" s="136" customFormat="1" x14ac:dyDescent="0.2">
      <c r="A24" s="378" t="s">
        <v>127</v>
      </c>
      <c r="B24" s="379"/>
      <c r="C24" s="379">
        <v>3285</v>
      </c>
      <c r="D24" s="379">
        <v>40196</v>
      </c>
      <c r="E24" s="379">
        <f t="shared" si="8"/>
        <v>3349.6666666666665</v>
      </c>
      <c r="F24" s="379">
        <v>337</v>
      </c>
      <c r="G24" s="379">
        <v>2610</v>
      </c>
      <c r="H24" s="379">
        <f t="shared" si="9"/>
        <v>290</v>
      </c>
      <c r="I24" s="379">
        <v>56</v>
      </c>
      <c r="J24" s="379">
        <v>504</v>
      </c>
      <c r="K24" s="379">
        <f t="shared" si="10"/>
        <v>42</v>
      </c>
      <c r="L24" s="379">
        <f t="shared" si="12"/>
        <v>3678</v>
      </c>
      <c r="M24" s="379">
        <f t="shared" si="12"/>
        <v>43310</v>
      </c>
      <c r="N24" s="380">
        <f t="shared" si="12"/>
        <v>3681.6666666666665</v>
      </c>
    </row>
    <row r="25" spans="1:16" x14ac:dyDescent="0.2">
      <c r="A25" s="378" t="s">
        <v>113</v>
      </c>
      <c r="B25" s="379"/>
      <c r="C25" s="379">
        <v>3250</v>
      </c>
      <c r="D25" s="379">
        <v>40039</v>
      </c>
      <c r="E25" s="379">
        <f t="shared" si="8"/>
        <v>3336.5833333333335</v>
      </c>
      <c r="F25" s="379">
        <v>317</v>
      </c>
      <c r="G25" s="379">
        <v>2379</v>
      </c>
      <c r="H25" s="379">
        <f t="shared" si="9"/>
        <v>264.33333333333331</v>
      </c>
      <c r="I25" s="379">
        <v>43</v>
      </c>
      <c r="J25" s="379">
        <v>307</v>
      </c>
      <c r="K25" s="379">
        <f t="shared" si="10"/>
        <v>25.583333333333332</v>
      </c>
      <c r="L25" s="379">
        <f t="shared" ref="L25:N26" si="13">+C25+F25+I25</f>
        <v>3610</v>
      </c>
      <c r="M25" s="379">
        <f t="shared" si="13"/>
        <v>42725</v>
      </c>
      <c r="N25" s="380">
        <f t="shared" si="13"/>
        <v>3626.5000000000005</v>
      </c>
    </row>
    <row r="26" spans="1:16" x14ac:dyDescent="0.2">
      <c r="A26" s="378" t="s">
        <v>9</v>
      </c>
      <c r="B26" s="379" t="s">
        <v>29</v>
      </c>
      <c r="C26" s="379">
        <v>3183</v>
      </c>
      <c r="D26" s="379">
        <v>39240</v>
      </c>
      <c r="E26" s="379">
        <f t="shared" si="8"/>
        <v>3270</v>
      </c>
      <c r="F26" s="379">
        <v>268</v>
      </c>
      <c r="G26" s="379">
        <v>1807</v>
      </c>
      <c r="H26" s="379">
        <f t="shared" si="9"/>
        <v>200.77777777777777</v>
      </c>
      <c r="I26" s="379">
        <v>63</v>
      </c>
      <c r="J26" s="379">
        <v>459</v>
      </c>
      <c r="K26" s="379">
        <f t="shared" si="10"/>
        <v>38.25</v>
      </c>
      <c r="L26" s="379">
        <f t="shared" si="13"/>
        <v>3514</v>
      </c>
      <c r="M26" s="379">
        <f t="shared" si="13"/>
        <v>41506</v>
      </c>
      <c r="N26" s="380">
        <f t="shared" si="13"/>
        <v>3509.0277777777778</v>
      </c>
    </row>
    <row r="27" spans="1:16" x14ac:dyDescent="0.2">
      <c r="A27" s="378" t="s">
        <v>99</v>
      </c>
      <c r="B27" s="379" t="s">
        <v>29</v>
      </c>
      <c r="C27" s="379">
        <v>2965</v>
      </c>
      <c r="D27" s="379">
        <v>35855</v>
      </c>
      <c r="E27" s="379">
        <f t="shared" si="8"/>
        <v>2987.9166666666665</v>
      </c>
      <c r="F27" s="379">
        <v>288</v>
      </c>
      <c r="G27" s="379">
        <v>1992</v>
      </c>
      <c r="H27" s="379">
        <f t="shared" si="9"/>
        <v>221.33333333333334</v>
      </c>
      <c r="I27" s="379">
        <v>91</v>
      </c>
      <c r="J27" s="379">
        <v>705</v>
      </c>
      <c r="K27" s="379">
        <f t="shared" si="10"/>
        <v>58.75</v>
      </c>
      <c r="L27" s="379">
        <f t="shared" ref="L27:N28" si="14">+C27+F27+I27</f>
        <v>3344</v>
      </c>
      <c r="M27" s="379">
        <f t="shared" si="14"/>
        <v>38552</v>
      </c>
      <c r="N27" s="380">
        <f t="shared" si="14"/>
        <v>3268</v>
      </c>
    </row>
    <row r="28" spans="1:16" s="381" customFormat="1" x14ac:dyDescent="0.2">
      <c r="A28" s="378" t="s">
        <v>94</v>
      </c>
      <c r="B28" s="379" t="s">
        <v>29</v>
      </c>
      <c r="C28" s="379">
        <v>2859</v>
      </c>
      <c r="D28" s="379">
        <v>34688</v>
      </c>
      <c r="E28" s="379">
        <f t="shared" si="8"/>
        <v>2890.6666666666665</v>
      </c>
      <c r="F28" s="379">
        <v>248</v>
      </c>
      <c r="G28" s="379">
        <v>1713</v>
      </c>
      <c r="H28" s="379">
        <f t="shared" si="9"/>
        <v>190.33333333333334</v>
      </c>
      <c r="I28" s="379">
        <v>122</v>
      </c>
      <c r="J28" s="379">
        <v>1061</v>
      </c>
      <c r="K28" s="379">
        <f t="shared" si="10"/>
        <v>88.416666666666671</v>
      </c>
      <c r="L28" s="379">
        <f t="shared" si="14"/>
        <v>3229</v>
      </c>
      <c r="M28" s="379">
        <f t="shared" si="14"/>
        <v>37462</v>
      </c>
      <c r="N28" s="380">
        <f t="shared" si="14"/>
        <v>3169.4166666666665</v>
      </c>
      <c r="O28" s="29"/>
      <c r="P28" s="29"/>
    </row>
    <row r="29" spans="1:16" x14ac:dyDescent="0.2">
      <c r="A29" s="378" t="s">
        <v>62</v>
      </c>
      <c r="B29" s="379" t="s">
        <v>29</v>
      </c>
      <c r="C29" s="379">
        <v>2783</v>
      </c>
      <c r="D29" s="379">
        <v>33710</v>
      </c>
      <c r="E29" s="379">
        <f t="shared" si="8"/>
        <v>2809.1666666666665</v>
      </c>
      <c r="F29" s="379">
        <v>237</v>
      </c>
      <c r="G29" s="379">
        <v>1448</v>
      </c>
      <c r="H29" s="379">
        <f t="shared" si="9"/>
        <v>160.88888888888889</v>
      </c>
      <c r="I29" s="379">
        <v>104</v>
      </c>
      <c r="J29" s="379">
        <v>734</v>
      </c>
      <c r="K29" s="379">
        <f t="shared" si="10"/>
        <v>61.166666666666664</v>
      </c>
      <c r="L29" s="379">
        <f t="shared" ref="L29:N30" si="15">+C29+F29+I29</f>
        <v>3124</v>
      </c>
      <c r="M29" s="379">
        <f t="shared" si="15"/>
        <v>35892</v>
      </c>
      <c r="N29" s="380">
        <f t="shared" si="15"/>
        <v>3031.2222222222217</v>
      </c>
    </row>
    <row r="30" spans="1:16" x14ac:dyDescent="0.2">
      <c r="A30" s="378" t="s">
        <v>58</v>
      </c>
      <c r="B30" s="379" t="s">
        <v>43</v>
      </c>
      <c r="C30" s="379">
        <v>2664</v>
      </c>
      <c r="D30" s="379">
        <v>32566</v>
      </c>
      <c r="E30" s="379">
        <f t="shared" si="8"/>
        <v>2713.8333333333335</v>
      </c>
      <c r="F30" s="379">
        <v>204</v>
      </c>
      <c r="G30" s="379">
        <v>1216</v>
      </c>
      <c r="H30" s="379">
        <f t="shared" si="9"/>
        <v>135.11111111111111</v>
      </c>
      <c r="I30" s="379">
        <v>102</v>
      </c>
      <c r="J30" s="379">
        <v>739</v>
      </c>
      <c r="K30" s="379">
        <f t="shared" si="10"/>
        <v>61.583333333333336</v>
      </c>
      <c r="L30" s="379">
        <f t="shared" si="15"/>
        <v>2970</v>
      </c>
      <c r="M30" s="379">
        <f t="shared" si="15"/>
        <v>34521</v>
      </c>
      <c r="N30" s="380">
        <f t="shared" si="15"/>
        <v>2910.5277777777783</v>
      </c>
    </row>
    <row r="31" spans="1:16" hidden="1" x14ac:dyDescent="0.2">
      <c r="A31" s="378" t="s">
        <v>47</v>
      </c>
      <c r="B31" s="379" t="s">
        <v>43</v>
      </c>
      <c r="C31" s="379">
        <v>2543</v>
      </c>
      <c r="D31" s="379">
        <v>30650</v>
      </c>
      <c r="E31" s="379">
        <f t="shared" si="8"/>
        <v>2554.1666666666665</v>
      </c>
      <c r="F31" s="379">
        <v>215</v>
      </c>
      <c r="G31" s="379">
        <v>1305</v>
      </c>
      <c r="H31" s="379">
        <f t="shared" si="9"/>
        <v>145</v>
      </c>
      <c r="I31" s="379">
        <v>64</v>
      </c>
      <c r="J31" s="379">
        <v>534</v>
      </c>
      <c r="K31" s="379">
        <f t="shared" si="10"/>
        <v>44.5</v>
      </c>
      <c r="L31" s="379">
        <f>+C31+F31+I31</f>
        <v>2822</v>
      </c>
      <c r="M31" s="379">
        <f>+D31+G31+J31</f>
        <v>32489</v>
      </c>
      <c r="N31" s="380">
        <f t="shared" ref="L31:N33" si="16">+E31+H31+K31</f>
        <v>2743.6666666666665</v>
      </c>
    </row>
    <row r="32" spans="1:16" hidden="1" x14ac:dyDescent="0.2">
      <c r="A32" s="382" t="s">
        <v>44</v>
      </c>
      <c r="B32" s="379" t="s">
        <v>29</v>
      </c>
      <c r="C32" s="379">
        <f>2616-I32</f>
        <v>2529</v>
      </c>
      <c r="D32" s="379">
        <f>31615-J32</f>
        <v>30894</v>
      </c>
      <c r="E32" s="379">
        <f t="shared" si="8"/>
        <v>2574.5</v>
      </c>
      <c r="F32" s="379">
        <v>256</v>
      </c>
      <c r="G32" s="379">
        <v>1639</v>
      </c>
      <c r="H32" s="379">
        <f t="shared" si="9"/>
        <v>182.11111111111111</v>
      </c>
      <c r="I32" s="379">
        <f>77+10</f>
        <v>87</v>
      </c>
      <c r="J32" s="379">
        <f>596+125</f>
        <v>721</v>
      </c>
      <c r="K32" s="379">
        <f t="shared" si="10"/>
        <v>60.083333333333336</v>
      </c>
      <c r="L32" s="379">
        <f t="shared" si="16"/>
        <v>2872</v>
      </c>
      <c r="M32" s="379">
        <f t="shared" si="16"/>
        <v>33254</v>
      </c>
      <c r="N32" s="380">
        <f t="shared" si="16"/>
        <v>2816.6944444444448</v>
      </c>
    </row>
    <row r="33" spans="1:14" hidden="1" x14ac:dyDescent="0.2">
      <c r="A33" s="378" t="s">
        <v>37</v>
      </c>
      <c r="B33" s="379" t="s">
        <v>29</v>
      </c>
      <c r="C33" s="379">
        <v>2533</v>
      </c>
      <c r="D33" s="379">
        <v>30646</v>
      </c>
      <c r="E33" s="379">
        <f>D33/12</f>
        <v>2553.8333333333335</v>
      </c>
      <c r="F33" s="379">
        <v>430</v>
      </c>
      <c r="G33" s="379">
        <v>2236</v>
      </c>
      <c r="H33" s="379">
        <f t="shared" si="9"/>
        <v>248.44444444444446</v>
      </c>
      <c r="I33" s="379">
        <v>81</v>
      </c>
      <c r="J33" s="379">
        <v>663</v>
      </c>
      <c r="K33" s="379">
        <f t="shared" si="10"/>
        <v>55.25</v>
      </c>
      <c r="L33" s="379">
        <f t="shared" si="16"/>
        <v>3044</v>
      </c>
      <c r="M33" s="379">
        <f t="shared" si="16"/>
        <v>33545</v>
      </c>
      <c r="N33" s="380">
        <f t="shared" si="16"/>
        <v>2857.5277777777778</v>
      </c>
    </row>
    <row r="34" spans="1:14" hidden="1" x14ac:dyDescent="0.2">
      <c r="A34" s="382" t="s">
        <v>26</v>
      </c>
      <c r="B34" s="379" t="s">
        <v>43</v>
      </c>
      <c r="C34" s="379">
        <v>2640</v>
      </c>
      <c r="D34" s="379">
        <v>32564</v>
      </c>
      <c r="E34" s="379">
        <f>+D34/12</f>
        <v>2713.6666666666665</v>
      </c>
      <c r="F34" s="379">
        <v>305</v>
      </c>
      <c r="G34" s="379">
        <v>1789</v>
      </c>
      <c r="H34" s="379">
        <f>+G34/9</f>
        <v>198.77777777777777</v>
      </c>
      <c r="I34" s="379">
        <v>103</v>
      </c>
      <c r="J34" s="379">
        <v>725</v>
      </c>
      <c r="K34" s="379">
        <f>+J34/12</f>
        <v>60.416666666666664</v>
      </c>
      <c r="L34" s="379">
        <f t="shared" ref="L34:N35" si="17">+C34+F34+I34</f>
        <v>3048</v>
      </c>
      <c r="M34" s="379">
        <f t="shared" si="17"/>
        <v>35078</v>
      </c>
      <c r="N34" s="380">
        <f t="shared" si="17"/>
        <v>2972.8611111111109</v>
      </c>
    </row>
    <row r="35" spans="1:14" hidden="1" x14ac:dyDescent="0.2">
      <c r="A35" s="382" t="s">
        <v>28</v>
      </c>
      <c r="B35" s="379" t="s">
        <v>29</v>
      </c>
      <c r="C35" s="379">
        <v>2922</v>
      </c>
      <c r="D35" s="379">
        <v>36286</v>
      </c>
      <c r="E35" s="379">
        <f>D35/12</f>
        <v>3023.8333333333335</v>
      </c>
      <c r="F35" s="379">
        <v>351</v>
      </c>
      <c r="G35" s="379">
        <v>1952</v>
      </c>
      <c r="H35" s="379">
        <f>G35/9</f>
        <v>216.88888888888889</v>
      </c>
      <c r="I35" s="379">
        <v>101</v>
      </c>
      <c r="J35" s="379">
        <v>730</v>
      </c>
      <c r="K35" s="379">
        <f>J35/12</f>
        <v>60.833333333333336</v>
      </c>
      <c r="L35" s="379">
        <f t="shared" si="17"/>
        <v>3374</v>
      </c>
      <c r="M35" s="379">
        <f t="shared" si="17"/>
        <v>38968</v>
      </c>
      <c r="N35" s="380">
        <f t="shared" si="17"/>
        <v>3301.5555555555557</v>
      </c>
    </row>
    <row r="36" spans="1:14" ht="13.5" hidden="1" thickBot="1" x14ac:dyDescent="0.25">
      <c r="A36" s="383" t="s">
        <v>49</v>
      </c>
      <c r="B36" s="379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80"/>
    </row>
    <row r="37" spans="1:14" hidden="1" x14ac:dyDescent="0.2">
      <c r="A37" s="384" t="s">
        <v>99</v>
      </c>
      <c r="B37" s="379" t="s">
        <v>29</v>
      </c>
      <c r="C37" s="385">
        <v>360</v>
      </c>
      <c r="D37" s="385">
        <v>1384</v>
      </c>
      <c r="E37" s="379">
        <f>D37/12</f>
        <v>115.33333333333333</v>
      </c>
      <c r="F37" s="385">
        <v>5</v>
      </c>
      <c r="G37" s="379">
        <v>15</v>
      </c>
      <c r="H37" s="379">
        <f>G37/9</f>
        <v>1.6666666666666667</v>
      </c>
      <c r="I37" s="379">
        <v>3</v>
      </c>
      <c r="J37" s="379">
        <v>16</v>
      </c>
      <c r="K37" s="379">
        <f>J37/12</f>
        <v>1.3333333333333333</v>
      </c>
      <c r="L37" s="379">
        <f>+C37+F37+I37</f>
        <v>368</v>
      </c>
      <c r="M37" s="379">
        <f>+D37+G37+J37</f>
        <v>1415</v>
      </c>
      <c r="N37" s="380">
        <f>+E37+H37+K37</f>
        <v>118.33333333333333</v>
      </c>
    </row>
    <row r="38" spans="1:14" hidden="1" x14ac:dyDescent="0.2">
      <c r="A38" s="382" t="s">
        <v>94</v>
      </c>
      <c r="B38" s="379"/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80"/>
    </row>
    <row r="39" spans="1:14" hidden="1" x14ac:dyDescent="0.2">
      <c r="A39" s="382" t="s">
        <v>62</v>
      </c>
      <c r="B39" s="379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80"/>
    </row>
    <row r="40" spans="1:14" hidden="1" x14ac:dyDescent="0.2">
      <c r="A40" s="382" t="s">
        <v>58</v>
      </c>
      <c r="B40" s="379"/>
      <c r="C40" s="379"/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80"/>
    </row>
    <row r="41" spans="1:14" hidden="1" x14ac:dyDescent="0.2">
      <c r="A41" s="382" t="s">
        <v>47</v>
      </c>
      <c r="B41" s="379"/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80"/>
    </row>
    <row r="42" spans="1:14" hidden="1" x14ac:dyDescent="0.2">
      <c r="A42" s="382" t="s">
        <v>44</v>
      </c>
      <c r="B42" s="379" t="s">
        <v>29</v>
      </c>
      <c r="C42" s="379">
        <v>399</v>
      </c>
      <c r="D42" s="379">
        <v>1556</v>
      </c>
      <c r="E42" s="379">
        <f>D42/12</f>
        <v>129.66666666666666</v>
      </c>
      <c r="F42" s="379">
        <v>12</v>
      </c>
      <c r="G42" s="379">
        <v>36</v>
      </c>
      <c r="H42" s="379">
        <f>G42/9</f>
        <v>4</v>
      </c>
      <c r="I42" s="379">
        <v>3</v>
      </c>
      <c r="J42" s="379">
        <v>9</v>
      </c>
      <c r="K42" s="379">
        <f>J42/12</f>
        <v>0.75</v>
      </c>
      <c r="L42" s="379">
        <f>+C42+F42+I42</f>
        <v>414</v>
      </c>
      <c r="M42" s="379">
        <f>+D42+G42+J42</f>
        <v>1601</v>
      </c>
      <c r="N42" s="380">
        <f>+E42+H42+K42</f>
        <v>134.41666666666666</v>
      </c>
    </row>
    <row r="43" spans="1:14" ht="13.5" thickBot="1" x14ac:dyDescent="0.25">
      <c r="A43" s="382"/>
      <c r="B43" s="379"/>
      <c r="C43" s="379"/>
      <c r="D43" s="386"/>
      <c r="E43" s="379"/>
      <c r="F43" s="379"/>
      <c r="G43" s="379"/>
      <c r="H43" s="379"/>
      <c r="I43" s="379"/>
      <c r="J43" s="379"/>
      <c r="K43" s="379"/>
      <c r="L43" s="379"/>
      <c r="M43" s="379"/>
      <c r="N43" s="380"/>
    </row>
    <row r="44" spans="1:14" ht="13.5" thickBot="1" x14ac:dyDescent="0.25">
      <c r="A44" s="387" t="s">
        <v>644</v>
      </c>
      <c r="B44" s="373"/>
      <c r="C44" s="373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4"/>
    </row>
    <row r="45" spans="1:14" x14ac:dyDescent="0.2">
      <c r="A45" s="378" t="s">
        <v>1434</v>
      </c>
      <c r="B45" s="379"/>
      <c r="C45" s="379">
        <v>2501</v>
      </c>
      <c r="D45" s="379">
        <v>30441</v>
      </c>
      <c r="E45" s="379">
        <v>2536.75</v>
      </c>
      <c r="F45" s="379">
        <v>277</v>
      </c>
      <c r="G45" s="379">
        <v>1654</v>
      </c>
      <c r="H45" s="379">
        <v>183.77777777777777</v>
      </c>
      <c r="I45" s="379">
        <v>27</v>
      </c>
      <c r="J45" s="379">
        <v>130</v>
      </c>
      <c r="K45" s="379">
        <v>10.833333333333334</v>
      </c>
      <c r="L45" s="379">
        <v>2805</v>
      </c>
      <c r="M45" s="379">
        <v>32225</v>
      </c>
      <c r="N45" s="380">
        <v>2731.3611111111113</v>
      </c>
    </row>
    <row r="46" spans="1:14" x14ac:dyDescent="0.2">
      <c r="A46" s="378" t="s">
        <v>356</v>
      </c>
      <c r="B46" s="379"/>
      <c r="C46" s="379">
        <v>2700</v>
      </c>
      <c r="D46" s="379">
        <v>33444</v>
      </c>
      <c r="E46" s="379">
        <f>D46/12</f>
        <v>2787</v>
      </c>
      <c r="F46" s="379">
        <v>293</v>
      </c>
      <c r="G46" s="379">
        <v>1946</v>
      </c>
      <c r="H46" s="379">
        <f>+G46/9</f>
        <v>216.22222222222223</v>
      </c>
      <c r="I46" s="379">
        <v>28</v>
      </c>
      <c r="J46" s="379">
        <v>144</v>
      </c>
      <c r="K46" s="379">
        <f>+J46/12</f>
        <v>12</v>
      </c>
      <c r="L46" s="379">
        <f t="shared" ref="L46" si="18">+C46+F46+I46</f>
        <v>3021</v>
      </c>
      <c r="M46" s="379">
        <f t="shared" ref="M46" si="19">+D46+G46+J46</f>
        <v>35534</v>
      </c>
      <c r="N46" s="380">
        <f t="shared" ref="N46" si="20">+E46+H46+K46</f>
        <v>3015.2222222222222</v>
      </c>
    </row>
    <row r="47" spans="1:14" x14ac:dyDescent="0.2">
      <c r="A47" s="378" t="s">
        <v>339</v>
      </c>
      <c r="B47" s="379"/>
      <c r="C47" s="379">
        <v>2894</v>
      </c>
      <c r="D47" s="379">
        <v>36909</v>
      </c>
      <c r="E47" s="379">
        <f>D47/12</f>
        <v>3075.75</v>
      </c>
      <c r="F47" s="379">
        <v>301</v>
      </c>
      <c r="G47" s="379">
        <v>2215</v>
      </c>
      <c r="H47" s="379">
        <f>+G47/9</f>
        <v>246.11111111111111</v>
      </c>
      <c r="I47" s="379">
        <v>32</v>
      </c>
      <c r="J47" s="379">
        <v>185</v>
      </c>
      <c r="K47" s="379">
        <f>+J47/12</f>
        <v>15.416666666666666</v>
      </c>
      <c r="L47" s="379">
        <f t="shared" ref="L47" si="21">+C47+F47+I47</f>
        <v>3227</v>
      </c>
      <c r="M47" s="379">
        <f t="shared" ref="M47" si="22">+D47+G47+J47</f>
        <v>39309</v>
      </c>
      <c r="N47" s="380">
        <f t="shared" ref="N47" si="23">+E47+H47+K47</f>
        <v>3337.2777777777778</v>
      </c>
    </row>
    <row r="48" spans="1:14" x14ac:dyDescent="0.2">
      <c r="A48" s="378" t="s">
        <v>303</v>
      </c>
      <c r="B48" s="379"/>
      <c r="C48" s="379">
        <v>3067</v>
      </c>
      <c r="D48" s="379">
        <v>38515</v>
      </c>
      <c r="E48" s="379">
        <f>D48/12</f>
        <v>3209.5833333333335</v>
      </c>
      <c r="F48" s="379">
        <v>341</v>
      </c>
      <c r="G48" s="379">
        <v>2458</v>
      </c>
      <c r="H48" s="379">
        <f>+G48/9</f>
        <v>273.11111111111109</v>
      </c>
      <c r="I48" s="379">
        <v>39</v>
      </c>
      <c r="J48" s="379">
        <v>192</v>
      </c>
      <c r="K48" s="379">
        <f>+J48/12</f>
        <v>16</v>
      </c>
      <c r="L48" s="379">
        <f t="shared" ref="L48" si="24">+C48+F48+I48</f>
        <v>3447</v>
      </c>
      <c r="M48" s="379">
        <f t="shared" ref="M48" si="25">+D48+G48+J48</f>
        <v>41165</v>
      </c>
      <c r="N48" s="380">
        <f t="shared" ref="N48" si="26">+E48+H48+K48</f>
        <v>3498.6944444444443</v>
      </c>
    </row>
    <row r="49" spans="1:14" x14ac:dyDescent="0.2">
      <c r="A49" s="378" t="s">
        <v>292</v>
      </c>
      <c r="B49" s="379"/>
      <c r="C49" s="379">
        <v>3172</v>
      </c>
      <c r="D49" s="379">
        <v>39943</v>
      </c>
      <c r="E49" s="379">
        <f>D49/12</f>
        <v>3328.5833333333335</v>
      </c>
      <c r="F49" s="379">
        <v>284</v>
      </c>
      <c r="G49" s="379">
        <v>1999</v>
      </c>
      <c r="H49" s="379">
        <f>+G49/9</f>
        <v>222.11111111111111</v>
      </c>
      <c r="I49" s="379">
        <v>35</v>
      </c>
      <c r="J49" s="379">
        <v>172</v>
      </c>
      <c r="K49" s="379">
        <f>+J49/12</f>
        <v>14.333333333333334</v>
      </c>
      <c r="L49" s="379">
        <f t="shared" ref="L49:N50" si="27">+C49+F49+I49</f>
        <v>3491</v>
      </c>
      <c r="M49" s="379">
        <f t="shared" si="27"/>
        <v>42114</v>
      </c>
      <c r="N49" s="380">
        <f t="shared" si="27"/>
        <v>3565.0277777777783</v>
      </c>
    </row>
    <row r="50" spans="1:14" x14ac:dyDescent="0.2">
      <c r="A50" s="378" t="s">
        <v>275</v>
      </c>
      <c r="B50" s="379"/>
      <c r="C50" s="379">
        <v>3286</v>
      </c>
      <c r="D50" s="379">
        <v>41270</v>
      </c>
      <c r="E50" s="379">
        <f t="shared" ref="E50:E63" si="28">D50/12</f>
        <v>3439.1666666666665</v>
      </c>
      <c r="F50" s="379">
        <v>297</v>
      </c>
      <c r="G50" s="379">
        <v>2171</v>
      </c>
      <c r="H50" s="379">
        <f t="shared" ref="H50:H59" si="29">+G50/9</f>
        <v>241.22222222222223</v>
      </c>
      <c r="I50" s="379">
        <v>37</v>
      </c>
      <c r="J50" s="379">
        <v>219</v>
      </c>
      <c r="K50" s="379">
        <f t="shared" ref="K50:K59" si="30">+J50/12</f>
        <v>18.25</v>
      </c>
      <c r="L50" s="379">
        <f t="shared" si="27"/>
        <v>3620</v>
      </c>
      <c r="M50" s="379">
        <f t="shared" si="27"/>
        <v>43660</v>
      </c>
      <c r="N50" s="380">
        <f t="shared" si="27"/>
        <v>3698.6388888888887</v>
      </c>
    </row>
    <row r="51" spans="1:14" x14ac:dyDescent="0.2">
      <c r="A51" s="378" t="s">
        <v>210</v>
      </c>
      <c r="B51" s="379"/>
      <c r="C51" s="379">
        <v>3331</v>
      </c>
      <c r="D51" s="379">
        <v>40829</v>
      </c>
      <c r="E51" s="379">
        <f t="shared" si="28"/>
        <v>3402.4166666666665</v>
      </c>
      <c r="F51" s="379">
        <v>249</v>
      </c>
      <c r="G51" s="379">
        <v>1941</v>
      </c>
      <c r="H51" s="379">
        <f t="shared" si="29"/>
        <v>215.66666666666666</v>
      </c>
      <c r="I51" s="379">
        <v>38</v>
      </c>
      <c r="J51" s="379">
        <v>279</v>
      </c>
      <c r="K51" s="379">
        <f t="shared" si="30"/>
        <v>23.25</v>
      </c>
      <c r="L51" s="379">
        <f t="shared" ref="L51:N52" si="31">+C51+F51+I51</f>
        <v>3618</v>
      </c>
      <c r="M51" s="379">
        <f t="shared" si="31"/>
        <v>43049</v>
      </c>
      <c r="N51" s="380">
        <f t="shared" si="31"/>
        <v>3641.333333333333</v>
      </c>
    </row>
    <row r="52" spans="1:14" x14ac:dyDescent="0.2">
      <c r="A52" s="378" t="s">
        <v>206</v>
      </c>
      <c r="B52" s="379"/>
      <c r="C52" s="379">
        <v>3356</v>
      </c>
      <c r="D52" s="379">
        <v>41223</v>
      </c>
      <c r="E52" s="379">
        <f t="shared" si="28"/>
        <v>3435.25</v>
      </c>
      <c r="F52" s="379">
        <v>279</v>
      </c>
      <c r="G52" s="379">
        <v>2114</v>
      </c>
      <c r="H52" s="379">
        <f t="shared" si="29"/>
        <v>234.88888888888889</v>
      </c>
      <c r="I52" s="379">
        <v>51</v>
      </c>
      <c r="J52" s="379">
        <v>293</v>
      </c>
      <c r="K52" s="379">
        <f t="shared" si="30"/>
        <v>24.416666666666668</v>
      </c>
      <c r="L52" s="379">
        <f t="shared" si="31"/>
        <v>3686</v>
      </c>
      <c r="M52" s="379">
        <f t="shared" si="31"/>
        <v>43630</v>
      </c>
      <c r="N52" s="380">
        <f t="shared" si="31"/>
        <v>3694.5555555555552</v>
      </c>
    </row>
    <row r="53" spans="1:14" x14ac:dyDescent="0.2">
      <c r="A53" s="378" t="s">
        <v>186</v>
      </c>
      <c r="B53" s="379"/>
      <c r="C53" s="379">
        <v>3259</v>
      </c>
      <c r="D53" s="379">
        <v>40237</v>
      </c>
      <c r="E53" s="379">
        <f t="shared" si="28"/>
        <v>3353.0833333333335</v>
      </c>
      <c r="F53" s="379">
        <v>283</v>
      </c>
      <c r="G53" s="379">
        <v>2202</v>
      </c>
      <c r="H53" s="379">
        <f t="shared" si="29"/>
        <v>244.66666666666666</v>
      </c>
      <c r="I53" s="379">
        <v>38</v>
      </c>
      <c r="J53" s="379">
        <v>219</v>
      </c>
      <c r="K53" s="379">
        <f t="shared" si="30"/>
        <v>18.25</v>
      </c>
      <c r="L53" s="379">
        <f t="shared" ref="L53:N55" si="32">+C53+F53+I53</f>
        <v>3580</v>
      </c>
      <c r="M53" s="379">
        <f t="shared" si="32"/>
        <v>42658</v>
      </c>
      <c r="N53" s="380">
        <f t="shared" si="32"/>
        <v>3616</v>
      </c>
    </row>
    <row r="54" spans="1:14" x14ac:dyDescent="0.2">
      <c r="A54" s="378" t="s">
        <v>166</v>
      </c>
      <c r="B54" s="379"/>
      <c r="C54" s="379">
        <v>3121</v>
      </c>
      <c r="D54" s="379">
        <v>38203</v>
      </c>
      <c r="E54" s="379">
        <f t="shared" si="28"/>
        <v>3183.5833333333335</v>
      </c>
      <c r="F54" s="379">
        <v>304</v>
      </c>
      <c r="G54" s="379">
        <v>2129</v>
      </c>
      <c r="H54" s="379">
        <f t="shared" si="29"/>
        <v>236.55555555555554</v>
      </c>
      <c r="I54" s="379">
        <v>44</v>
      </c>
      <c r="J54" s="379">
        <v>318</v>
      </c>
      <c r="K54" s="379">
        <f t="shared" si="30"/>
        <v>26.5</v>
      </c>
      <c r="L54" s="379">
        <f t="shared" si="32"/>
        <v>3469</v>
      </c>
      <c r="M54" s="379">
        <f t="shared" si="32"/>
        <v>40650</v>
      </c>
      <c r="N54" s="380">
        <f t="shared" si="32"/>
        <v>3446.6388888888891</v>
      </c>
    </row>
    <row r="55" spans="1:14" x14ac:dyDescent="0.2">
      <c r="A55" s="378" t="s">
        <v>154</v>
      </c>
      <c r="B55" s="379"/>
      <c r="C55" s="379">
        <v>3139</v>
      </c>
      <c r="D55" s="379">
        <v>38317</v>
      </c>
      <c r="E55" s="379">
        <f t="shared" si="28"/>
        <v>3193.0833333333335</v>
      </c>
      <c r="F55" s="379">
        <v>307</v>
      </c>
      <c r="G55" s="379">
        <v>2459</v>
      </c>
      <c r="H55" s="379">
        <f t="shared" si="29"/>
        <v>273.22222222222223</v>
      </c>
      <c r="I55" s="379">
        <v>42</v>
      </c>
      <c r="J55" s="379">
        <v>247</v>
      </c>
      <c r="K55" s="379">
        <f t="shared" si="30"/>
        <v>20.583333333333332</v>
      </c>
      <c r="L55" s="379">
        <f t="shared" si="32"/>
        <v>3488</v>
      </c>
      <c r="M55" s="379">
        <f t="shared" si="32"/>
        <v>41023</v>
      </c>
      <c r="N55" s="380">
        <f t="shared" si="32"/>
        <v>3486.8888888888891</v>
      </c>
    </row>
    <row r="56" spans="1:14" x14ac:dyDescent="0.2">
      <c r="A56" s="378" t="s">
        <v>120</v>
      </c>
      <c r="B56" s="379"/>
      <c r="C56" s="379">
        <v>3084</v>
      </c>
      <c r="D56" s="379">
        <v>37461</v>
      </c>
      <c r="E56" s="379">
        <f t="shared" si="28"/>
        <v>3121.75</v>
      </c>
      <c r="F56" s="379">
        <v>369</v>
      </c>
      <c r="G56" s="379">
        <v>2978</v>
      </c>
      <c r="H56" s="379">
        <f t="shared" si="29"/>
        <v>330.88888888888891</v>
      </c>
      <c r="I56" s="379">
        <v>53</v>
      </c>
      <c r="J56" s="379">
        <v>287</v>
      </c>
      <c r="K56" s="379">
        <f t="shared" si="30"/>
        <v>23.916666666666668</v>
      </c>
      <c r="L56" s="379">
        <f t="shared" ref="L56:N57" si="33">+C56+F56+I56</f>
        <v>3506</v>
      </c>
      <c r="M56" s="379">
        <f t="shared" si="33"/>
        <v>40726</v>
      </c>
      <c r="N56" s="380">
        <f t="shared" si="33"/>
        <v>3476.5555555555552</v>
      </c>
    </row>
    <row r="57" spans="1:14" x14ac:dyDescent="0.2">
      <c r="A57" s="378" t="s">
        <v>107</v>
      </c>
      <c r="B57" s="386" t="s">
        <v>29</v>
      </c>
      <c r="C57" s="379">
        <v>3054</v>
      </c>
      <c r="D57" s="379">
        <v>36955</v>
      </c>
      <c r="E57" s="379">
        <f t="shared" si="28"/>
        <v>3079.5833333333335</v>
      </c>
      <c r="F57" s="379">
        <v>260</v>
      </c>
      <c r="G57" s="379">
        <v>1748</v>
      </c>
      <c r="H57" s="379">
        <f t="shared" si="29"/>
        <v>194.22222222222223</v>
      </c>
      <c r="I57" s="379">
        <v>71</v>
      </c>
      <c r="J57" s="379">
        <v>378</v>
      </c>
      <c r="K57" s="379">
        <f t="shared" si="30"/>
        <v>31.5</v>
      </c>
      <c r="L57" s="379">
        <f t="shared" si="33"/>
        <v>3385</v>
      </c>
      <c r="M57" s="379">
        <f t="shared" si="33"/>
        <v>39081</v>
      </c>
      <c r="N57" s="380">
        <f t="shared" si="33"/>
        <v>3305.3055555555557</v>
      </c>
    </row>
    <row r="58" spans="1:14" x14ac:dyDescent="0.2">
      <c r="A58" s="378" t="s">
        <v>101</v>
      </c>
      <c r="B58" s="379" t="s">
        <v>29</v>
      </c>
      <c r="C58" s="379">
        <v>2843</v>
      </c>
      <c r="D58" s="379">
        <v>34987</v>
      </c>
      <c r="E58" s="379">
        <f t="shared" si="28"/>
        <v>2915.5833333333335</v>
      </c>
      <c r="F58" s="379">
        <v>290</v>
      </c>
      <c r="G58" s="379">
        <v>2090</v>
      </c>
      <c r="H58" s="379">
        <f t="shared" si="29"/>
        <v>232.22222222222223</v>
      </c>
      <c r="I58" s="379">
        <v>130</v>
      </c>
      <c r="J58" s="379">
        <v>926</v>
      </c>
      <c r="K58" s="379">
        <f t="shared" si="30"/>
        <v>77.166666666666671</v>
      </c>
      <c r="L58" s="379">
        <f t="shared" ref="L58:N59" si="34">+C58+F58+I58</f>
        <v>3263</v>
      </c>
      <c r="M58" s="379">
        <f t="shared" si="34"/>
        <v>38003</v>
      </c>
      <c r="N58" s="380">
        <f t="shared" si="34"/>
        <v>3224.9722222222222</v>
      </c>
    </row>
    <row r="59" spans="1:14" x14ac:dyDescent="0.2">
      <c r="A59" s="378" t="s">
        <v>102</v>
      </c>
      <c r="B59" s="379" t="s">
        <v>29</v>
      </c>
      <c r="C59" s="379">
        <v>2640</v>
      </c>
      <c r="D59" s="379">
        <v>31971</v>
      </c>
      <c r="E59" s="379">
        <f t="shared" si="28"/>
        <v>2664.25</v>
      </c>
      <c r="F59" s="379">
        <v>266</v>
      </c>
      <c r="G59" s="379">
        <v>1812</v>
      </c>
      <c r="H59" s="379">
        <f t="shared" si="29"/>
        <v>201.33333333333334</v>
      </c>
      <c r="I59" s="379">
        <v>100</v>
      </c>
      <c r="J59" s="379">
        <v>761</v>
      </c>
      <c r="K59" s="379">
        <f t="shared" si="30"/>
        <v>63.416666666666664</v>
      </c>
      <c r="L59" s="379">
        <f t="shared" si="34"/>
        <v>3006</v>
      </c>
      <c r="M59" s="379">
        <f t="shared" si="34"/>
        <v>34544</v>
      </c>
      <c r="N59" s="380">
        <f t="shared" si="34"/>
        <v>2929</v>
      </c>
    </row>
    <row r="60" spans="1:14" x14ac:dyDescent="0.2">
      <c r="A60" s="378" t="s">
        <v>80</v>
      </c>
      <c r="B60" s="379" t="s">
        <v>29</v>
      </c>
      <c r="C60" s="379">
        <v>2651</v>
      </c>
      <c r="D60" s="379">
        <v>32100</v>
      </c>
      <c r="E60" s="379">
        <f t="shared" si="28"/>
        <v>2675</v>
      </c>
      <c r="F60" s="379">
        <v>249</v>
      </c>
      <c r="G60" s="379">
        <v>1653</v>
      </c>
      <c r="H60" s="379">
        <f t="shared" ref="H60:H66" si="35">+G60/9</f>
        <v>183.66666666666666</v>
      </c>
      <c r="I60" s="379">
        <v>100</v>
      </c>
      <c r="J60" s="379">
        <v>614</v>
      </c>
      <c r="K60" s="379">
        <f t="shared" ref="K60:K66" si="36">+J60/12</f>
        <v>51.166666666666664</v>
      </c>
      <c r="L60" s="379">
        <f t="shared" ref="L60:N61" si="37">+C60+F60+I60</f>
        <v>3000</v>
      </c>
      <c r="M60" s="379">
        <f t="shared" si="37"/>
        <v>34367</v>
      </c>
      <c r="N60" s="380">
        <f t="shared" si="37"/>
        <v>2909.833333333333</v>
      </c>
    </row>
    <row r="61" spans="1:14" x14ac:dyDescent="0.2">
      <c r="A61" s="378" t="s">
        <v>60</v>
      </c>
      <c r="B61" s="379" t="s">
        <v>29</v>
      </c>
      <c r="C61" s="379">
        <v>2480</v>
      </c>
      <c r="D61" s="379">
        <v>29884</v>
      </c>
      <c r="E61" s="379">
        <f t="shared" si="28"/>
        <v>2490.3333333333335</v>
      </c>
      <c r="F61" s="379">
        <v>216</v>
      </c>
      <c r="G61" s="379">
        <v>1318</v>
      </c>
      <c r="H61" s="379">
        <f t="shared" si="35"/>
        <v>146.44444444444446</v>
      </c>
      <c r="I61" s="379">
        <v>101</v>
      </c>
      <c r="J61" s="379">
        <v>655</v>
      </c>
      <c r="K61" s="379">
        <f t="shared" si="36"/>
        <v>54.583333333333336</v>
      </c>
      <c r="L61" s="379">
        <f t="shared" si="37"/>
        <v>2797</v>
      </c>
      <c r="M61" s="379">
        <f t="shared" si="37"/>
        <v>31857</v>
      </c>
      <c r="N61" s="380">
        <f t="shared" si="37"/>
        <v>2691.3611111111113</v>
      </c>
    </row>
    <row r="62" spans="1:14" hidden="1" x14ac:dyDescent="0.2">
      <c r="A62" s="378" t="s">
        <v>50</v>
      </c>
      <c r="B62" s="379" t="s">
        <v>29</v>
      </c>
      <c r="C62" s="379">
        <v>2354</v>
      </c>
      <c r="D62" s="379">
        <v>28885</v>
      </c>
      <c r="E62" s="379">
        <f t="shared" si="28"/>
        <v>2407.0833333333335</v>
      </c>
      <c r="F62" s="379">
        <v>202</v>
      </c>
      <c r="G62" s="379">
        <v>1287</v>
      </c>
      <c r="H62" s="379">
        <f t="shared" si="35"/>
        <v>143</v>
      </c>
      <c r="I62" s="379">
        <v>92</v>
      </c>
      <c r="J62" s="379">
        <v>627</v>
      </c>
      <c r="K62" s="379">
        <f t="shared" si="36"/>
        <v>52.25</v>
      </c>
      <c r="L62" s="379">
        <f>+C62+F62+I62</f>
        <v>2648</v>
      </c>
      <c r="M62" s="379">
        <f>+D62+G62+J62</f>
        <v>30799</v>
      </c>
      <c r="N62" s="380">
        <f t="shared" ref="M62:N65" si="38">+E62+H62+K62</f>
        <v>2602.3333333333335</v>
      </c>
    </row>
    <row r="63" spans="1:14" s="390" customFormat="1" hidden="1" x14ac:dyDescent="0.2">
      <c r="A63" s="378" t="s">
        <v>48</v>
      </c>
      <c r="B63" s="379" t="s">
        <v>29</v>
      </c>
      <c r="C63" s="379">
        <f>2399-52+1</f>
        <v>2348</v>
      </c>
      <c r="D63" s="379">
        <f>28800-345+14</f>
        <v>28469</v>
      </c>
      <c r="E63" s="379">
        <f t="shared" si="28"/>
        <v>2372.4166666666665</v>
      </c>
      <c r="F63" s="379">
        <f>263+2</f>
        <v>265</v>
      </c>
      <c r="G63" s="379">
        <f>1553+1+1</f>
        <v>1555</v>
      </c>
      <c r="H63" s="379">
        <f t="shared" si="35"/>
        <v>172.77777777777777</v>
      </c>
      <c r="I63" s="379">
        <v>52</v>
      </c>
      <c r="J63" s="379">
        <v>345</v>
      </c>
      <c r="K63" s="379">
        <f t="shared" si="36"/>
        <v>28.75</v>
      </c>
      <c r="L63" s="379">
        <f>+C63+F63+I63</f>
        <v>2665</v>
      </c>
      <c r="M63" s="379">
        <f t="shared" si="38"/>
        <v>30369</v>
      </c>
      <c r="N63" s="380">
        <f t="shared" si="38"/>
        <v>2573.9444444444443</v>
      </c>
    </row>
    <row r="64" spans="1:14" hidden="1" x14ac:dyDescent="0.2">
      <c r="A64" s="378" t="s">
        <v>39</v>
      </c>
      <c r="B64" s="379" t="s">
        <v>29</v>
      </c>
      <c r="C64" s="379">
        <f>2437-I64+2</f>
        <v>2361</v>
      </c>
      <c r="D64" s="379">
        <f>29385-J64+27</f>
        <v>28818</v>
      </c>
      <c r="E64" s="379">
        <f>+D64/12</f>
        <v>2401.5</v>
      </c>
      <c r="F64" s="379">
        <f>268+3</f>
        <v>271</v>
      </c>
      <c r="G64" s="379">
        <f>1728+21</f>
        <v>1749</v>
      </c>
      <c r="H64" s="379">
        <f t="shared" si="35"/>
        <v>194.33333333333334</v>
      </c>
      <c r="I64" s="379">
        <f>75+3</f>
        <v>78</v>
      </c>
      <c r="J64" s="379">
        <f>551+43</f>
        <v>594</v>
      </c>
      <c r="K64" s="379">
        <f t="shared" si="36"/>
        <v>49.5</v>
      </c>
      <c r="L64" s="379">
        <f>+C64+F64+I64</f>
        <v>2710</v>
      </c>
      <c r="M64" s="379">
        <f t="shared" si="38"/>
        <v>31161</v>
      </c>
      <c r="N64" s="380">
        <f t="shared" si="38"/>
        <v>2645.3333333333335</v>
      </c>
    </row>
    <row r="65" spans="1:15" hidden="1" x14ac:dyDescent="0.2">
      <c r="A65" s="388" t="s">
        <v>39</v>
      </c>
      <c r="B65" s="389" t="s">
        <v>27</v>
      </c>
      <c r="C65" s="389" t="e">
        <f>+C66*#REF!</f>
        <v>#REF!</v>
      </c>
      <c r="D65" s="389" t="e">
        <f>+D66*#REF!</f>
        <v>#REF!</v>
      </c>
      <c r="E65" s="379" t="e">
        <f>+D65/12</f>
        <v>#REF!</v>
      </c>
      <c r="F65" s="389" t="e">
        <f>+F66*#REF!</f>
        <v>#REF!</v>
      </c>
      <c r="G65" s="389" t="e">
        <f>+G66*#REF!</f>
        <v>#REF!</v>
      </c>
      <c r="H65" s="379" t="e">
        <f t="shared" si="35"/>
        <v>#REF!</v>
      </c>
      <c r="I65" s="389" t="e">
        <f>+I66*#REF!</f>
        <v>#REF!</v>
      </c>
      <c r="J65" s="389" t="e">
        <f>+J66*#REF!</f>
        <v>#REF!</v>
      </c>
      <c r="K65" s="379" t="e">
        <f t="shared" si="36"/>
        <v>#REF!</v>
      </c>
      <c r="L65" s="379" t="e">
        <f>+C65+F65+I65</f>
        <v>#REF!</v>
      </c>
      <c r="M65" s="379" t="e">
        <f t="shared" si="38"/>
        <v>#REF!</v>
      </c>
      <c r="N65" s="380" t="e">
        <f t="shared" si="38"/>
        <v>#REF!</v>
      </c>
      <c r="O65" s="391"/>
    </row>
    <row r="66" spans="1:15" hidden="1" x14ac:dyDescent="0.2">
      <c r="A66" s="382" t="s">
        <v>31</v>
      </c>
      <c r="B66" s="379" t="s">
        <v>29</v>
      </c>
      <c r="C66" s="379">
        <v>2517</v>
      </c>
      <c r="D66" s="379">
        <v>30060</v>
      </c>
      <c r="E66" s="379">
        <f>+D66/12</f>
        <v>2505</v>
      </c>
      <c r="F66" s="379">
        <v>339</v>
      </c>
      <c r="G66" s="379">
        <v>1916</v>
      </c>
      <c r="H66" s="379">
        <f t="shared" si="35"/>
        <v>212.88888888888889</v>
      </c>
      <c r="I66" s="379">
        <v>0</v>
      </c>
      <c r="J66" s="379">
        <v>0</v>
      </c>
      <c r="K66" s="379">
        <f t="shared" si="36"/>
        <v>0</v>
      </c>
      <c r="L66" s="379">
        <f>+C66+F66+I66</f>
        <v>2856</v>
      </c>
      <c r="M66" s="379">
        <f>+D66+G66+J66</f>
        <v>31976</v>
      </c>
      <c r="N66" s="380">
        <f>+E66+H66+K66</f>
        <v>2717.8888888888887</v>
      </c>
    </row>
    <row r="67" spans="1:15" hidden="1" x14ac:dyDescent="0.2">
      <c r="A67" s="382" t="s">
        <v>32</v>
      </c>
      <c r="B67" s="379" t="s">
        <v>29</v>
      </c>
      <c r="C67" s="379">
        <v>2674</v>
      </c>
      <c r="D67" s="379">
        <v>32989</v>
      </c>
      <c r="E67" s="379">
        <f>D67/12</f>
        <v>2749.0833333333335</v>
      </c>
      <c r="F67" s="379">
        <v>320</v>
      </c>
      <c r="G67" s="379">
        <v>1863</v>
      </c>
      <c r="H67" s="379">
        <f>G67/9</f>
        <v>207</v>
      </c>
      <c r="I67" s="379">
        <v>92</v>
      </c>
      <c r="J67" s="379">
        <v>495</v>
      </c>
      <c r="K67" s="379">
        <f>J67/12</f>
        <v>41.25</v>
      </c>
      <c r="L67" s="379">
        <f t="shared" ref="L67:N67" si="39">+C67+F67+I67</f>
        <v>3086</v>
      </c>
      <c r="M67" s="379">
        <f t="shared" si="39"/>
        <v>35347</v>
      </c>
      <c r="N67" s="380">
        <f t="shared" si="39"/>
        <v>2997.3333333333335</v>
      </c>
    </row>
    <row r="68" spans="1:15" ht="13.5" thickBot="1" x14ac:dyDescent="0.25">
      <c r="A68" s="382"/>
      <c r="B68" s="379"/>
      <c r="C68" s="379"/>
      <c r="D68" s="379"/>
      <c r="E68" s="379"/>
      <c r="F68" s="379"/>
      <c r="G68" s="379"/>
      <c r="H68" s="379"/>
      <c r="I68" s="379"/>
      <c r="J68" s="379"/>
      <c r="K68" s="379"/>
      <c r="L68" s="379"/>
      <c r="M68" s="379"/>
      <c r="N68" s="380"/>
    </row>
    <row r="69" spans="1:15" ht="13.5" thickBot="1" x14ac:dyDescent="0.25">
      <c r="A69" s="387" t="s">
        <v>645</v>
      </c>
      <c r="B69" s="373"/>
      <c r="C69" s="373"/>
      <c r="D69" s="373"/>
      <c r="E69" s="373"/>
      <c r="F69" s="373"/>
      <c r="G69" s="373"/>
      <c r="H69" s="373"/>
      <c r="I69" s="373"/>
      <c r="J69" s="373"/>
      <c r="K69" s="373"/>
      <c r="L69" s="373"/>
      <c r="M69" s="373"/>
      <c r="N69" s="374"/>
    </row>
    <row r="70" spans="1:15" x14ac:dyDescent="0.2">
      <c r="A70" s="382" t="s">
        <v>1433</v>
      </c>
      <c r="B70" s="379"/>
      <c r="C70" s="379">
        <v>691</v>
      </c>
      <c r="D70" s="379">
        <v>3274</v>
      </c>
      <c r="E70" s="379">
        <f>+D70/12</f>
        <v>272.83333333333331</v>
      </c>
      <c r="F70" s="379">
        <v>111</v>
      </c>
      <c r="G70" s="379">
        <v>577</v>
      </c>
      <c r="H70" s="379">
        <f>G70/9</f>
        <v>64.111111111111114</v>
      </c>
      <c r="I70" s="379">
        <v>25</v>
      </c>
      <c r="J70" s="379">
        <v>106</v>
      </c>
      <c r="K70" s="379">
        <f>J70/12</f>
        <v>8.8333333333333339</v>
      </c>
      <c r="L70" s="379">
        <f t="shared" ref="L70:N71" si="40">+C70+F70+I70</f>
        <v>827</v>
      </c>
      <c r="M70" s="379">
        <f t="shared" si="40"/>
        <v>3957</v>
      </c>
      <c r="N70" s="380">
        <f t="shared" si="40"/>
        <v>345.77777777777777</v>
      </c>
    </row>
    <row r="71" spans="1:15" x14ac:dyDescent="0.2">
      <c r="A71" s="382" t="s">
        <v>642</v>
      </c>
      <c r="B71" s="379"/>
      <c r="C71" s="379">
        <v>785</v>
      </c>
      <c r="D71" s="379">
        <v>4060</v>
      </c>
      <c r="E71" s="379">
        <f>+D71/12</f>
        <v>338.33333333333331</v>
      </c>
      <c r="F71" s="379">
        <v>107</v>
      </c>
      <c r="G71" s="379">
        <v>618</v>
      </c>
      <c r="H71" s="379">
        <f>G71/9</f>
        <v>68.666666666666671</v>
      </c>
      <c r="I71" s="379">
        <v>21</v>
      </c>
      <c r="J71" s="379">
        <v>76</v>
      </c>
      <c r="K71" s="379">
        <f>J71/12</f>
        <v>6.333333333333333</v>
      </c>
      <c r="L71" s="379">
        <f t="shared" si="40"/>
        <v>913</v>
      </c>
      <c r="M71" s="379">
        <f t="shared" si="40"/>
        <v>4754</v>
      </c>
      <c r="N71" s="380">
        <f t="shared" si="40"/>
        <v>413.33333333333331</v>
      </c>
    </row>
    <row r="72" spans="1:15" x14ac:dyDescent="0.2">
      <c r="A72" s="382" t="s">
        <v>349</v>
      </c>
      <c r="B72" s="379"/>
      <c r="C72" s="379">
        <v>855</v>
      </c>
      <c r="D72" s="379">
        <v>3701</v>
      </c>
      <c r="E72" s="379">
        <f t="shared" ref="E72" si="41">+D72/12</f>
        <v>308.41666666666669</v>
      </c>
      <c r="F72" s="379">
        <v>142</v>
      </c>
      <c r="G72" s="379">
        <v>591</v>
      </c>
      <c r="H72" s="379">
        <f t="shared" ref="H72" si="42">G72/9</f>
        <v>65.666666666666671</v>
      </c>
      <c r="I72" s="379">
        <v>20</v>
      </c>
      <c r="J72" s="379">
        <v>69</v>
      </c>
      <c r="K72" s="379">
        <f t="shared" ref="K72" si="43">J72/12</f>
        <v>5.75</v>
      </c>
      <c r="L72" s="379">
        <f t="shared" ref="L72" si="44">+C72+F72+I72</f>
        <v>1017</v>
      </c>
      <c r="M72" s="379">
        <f t="shared" ref="M72" si="45">+D72+G72+J72</f>
        <v>4361</v>
      </c>
      <c r="N72" s="380">
        <f t="shared" ref="N72" si="46">+E72+H72+K72</f>
        <v>379.83333333333337</v>
      </c>
    </row>
    <row r="73" spans="1:15" x14ac:dyDescent="0.2">
      <c r="A73" s="382" t="s">
        <v>323</v>
      </c>
      <c r="B73" s="379"/>
      <c r="C73" s="379">
        <v>803</v>
      </c>
      <c r="D73" s="379">
        <v>4174</v>
      </c>
      <c r="E73" s="379">
        <f t="shared" ref="E73:E90" si="47">+D73/12</f>
        <v>347.83333333333331</v>
      </c>
      <c r="F73" s="379">
        <v>150</v>
      </c>
      <c r="G73" s="379">
        <v>794</v>
      </c>
      <c r="H73" s="379">
        <f t="shared" ref="H73:H86" si="48">G73/9</f>
        <v>88.222222222222229</v>
      </c>
      <c r="I73" s="379">
        <v>41</v>
      </c>
      <c r="J73" s="379">
        <v>205</v>
      </c>
      <c r="K73" s="379">
        <f t="shared" ref="K73:K91" si="49">J73/12</f>
        <v>17.083333333333332</v>
      </c>
      <c r="L73" s="379">
        <f t="shared" ref="L73" si="50">+C73+F73+I73</f>
        <v>994</v>
      </c>
      <c r="M73" s="379">
        <f t="shared" ref="M73" si="51">+D73+G73+J73</f>
        <v>5173</v>
      </c>
      <c r="N73" s="380">
        <f t="shared" ref="N73" si="52">+E73+H73+K73</f>
        <v>453.13888888888886</v>
      </c>
    </row>
    <row r="74" spans="1:15" x14ac:dyDescent="0.2">
      <c r="A74" s="382" t="s">
        <v>299</v>
      </c>
      <c r="C74" s="29">
        <v>1107</v>
      </c>
      <c r="D74" s="29">
        <v>4617</v>
      </c>
      <c r="E74" s="379">
        <f t="shared" si="47"/>
        <v>384.75</v>
      </c>
      <c r="F74" s="29">
        <v>182</v>
      </c>
      <c r="G74" s="29">
        <v>681</v>
      </c>
      <c r="H74" s="379">
        <f t="shared" si="48"/>
        <v>75.666666666666671</v>
      </c>
      <c r="I74" s="29">
        <v>51</v>
      </c>
      <c r="J74" s="29">
        <v>176</v>
      </c>
      <c r="K74" s="379">
        <f t="shared" si="49"/>
        <v>14.666666666666666</v>
      </c>
      <c r="L74" s="379">
        <f t="shared" ref="L74:L91" si="53">+C74+F74+I74</f>
        <v>1340</v>
      </c>
      <c r="M74" s="379">
        <f t="shared" ref="M74:M91" si="54">+D74+G74+J74</f>
        <v>5474</v>
      </c>
      <c r="N74" s="380">
        <f t="shared" ref="N74:N91" si="55">+E74+H74+K74</f>
        <v>475.08333333333337</v>
      </c>
    </row>
    <row r="75" spans="1:15" x14ac:dyDescent="0.2">
      <c r="A75" s="378" t="s">
        <v>298</v>
      </c>
      <c r="B75" s="379"/>
      <c r="C75" s="379">
        <v>1049</v>
      </c>
      <c r="D75" s="379">
        <v>5559</v>
      </c>
      <c r="E75" s="379">
        <f t="shared" si="47"/>
        <v>463.25</v>
      </c>
      <c r="F75" s="379">
        <v>120</v>
      </c>
      <c r="G75" s="379">
        <v>579</v>
      </c>
      <c r="H75" s="379">
        <f t="shared" si="48"/>
        <v>64.333333333333329</v>
      </c>
      <c r="I75" s="379">
        <v>60</v>
      </c>
      <c r="J75" s="379">
        <v>262</v>
      </c>
      <c r="K75" s="379">
        <f t="shared" si="49"/>
        <v>21.833333333333332</v>
      </c>
      <c r="L75" s="379">
        <f t="shared" si="53"/>
        <v>1229</v>
      </c>
      <c r="M75" s="379">
        <f t="shared" si="54"/>
        <v>6400</v>
      </c>
      <c r="N75" s="380">
        <f t="shared" si="55"/>
        <v>549.41666666666674</v>
      </c>
    </row>
    <row r="76" spans="1:15" x14ac:dyDescent="0.2">
      <c r="A76" s="378" t="s">
        <v>212</v>
      </c>
      <c r="B76" s="379"/>
      <c r="C76" s="379">
        <v>1126</v>
      </c>
      <c r="D76" s="379">
        <v>6071</v>
      </c>
      <c r="E76" s="379">
        <f t="shared" si="47"/>
        <v>505.91666666666669</v>
      </c>
      <c r="F76" s="379">
        <v>139</v>
      </c>
      <c r="G76" s="379">
        <v>761</v>
      </c>
      <c r="H76" s="379">
        <f t="shared" si="48"/>
        <v>84.555555555555557</v>
      </c>
      <c r="I76" s="379">
        <v>46</v>
      </c>
      <c r="J76" s="379">
        <v>221</v>
      </c>
      <c r="K76" s="379">
        <f t="shared" si="49"/>
        <v>18.416666666666668</v>
      </c>
      <c r="L76" s="379">
        <f t="shared" si="53"/>
        <v>1311</v>
      </c>
      <c r="M76" s="379">
        <f t="shared" si="54"/>
        <v>7053</v>
      </c>
      <c r="N76" s="380">
        <f t="shared" si="55"/>
        <v>608.88888888888891</v>
      </c>
    </row>
    <row r="77" spans="1:15" x14ac:dyDescent="0.2">
      <c r="A77" s="378" t="s">
        <v>207</v>
      </c>
      <c r="B77" s="379"/>
      <c r="C77" s="379">
        <v>1079</v>
      </c>
      <c r="D77" s="379">
        <v>6200</v>
      </c>
      <c r="E77" s="379">
        <f t="shared" si="47"/>
        <v>516.66666666666663</v>
      </c>
      <c r="F77" s="379">
        <v>117</v>
      </c>
      <c r="G77" s="379">
        <v>708</v>
      </c>
      <c r="H77" s="379">
        <f t="shared" si="48"/>
        <v>78.666666666666671</v>
      </c>
      <c r="I77" s="379">
        <v>32</v>
      </c>
      <c r="J77" s="379">
        <v>145</v>
      </c>
      <c r="K77" s="379">
        <f t="shared" si="49"/>
        <v>12.083333333333334</v>
      </c>
      <c r="L77" s="379">
        <f t="shared" si="53"/>
        <v>1228</v>
      </c>
      <c r="M77" s="379">
        <f t="shared" si="54"/>
        <v>7053</v>
      </c>
      <c r="N77" s="380">
        <f t="shared" si="55"/>
        <v>607.41666666666663</v>
      </c>
    </row>
    <row r="78" spans="1:15" x14ac:dyDescent="0.2">
      <c r="A78" s="378" t="s">
        <v>204</v>
      </c>
      <c r="B78" s="379"/>
      <c r="C78" s="379">
        <v>1158</v>
      </c>
      <c r="D78" s="379">
        <v>6240</v>
      </c>
      <c r="E78" s="379">
        <f t="shared" si="47"/>
        <v>520</v>
      </c>
      <c r="F78" s="379">
        <v>171</v>
      </c>
      <c r="G78" s="379">
        <v>911</v>
      </c>
      <c r="H78" s="379">
        <f t="shared" si="48"/>
        <v>101.22222222222223</v>
      </c>
      <c r="I78" s="379">
        <v>46</v>
      </c>
      <c r="J78" s="379">
        <v>206</v>
      </c>
      <c r="K78" s="379">
        <f t="shared" si="49"/>
        <v>17.166666666666668</v>
      </c>
      <c r="L78" s="379">
        <f t="shared" si="53"/>
        <v>1375</v>
      </c>
      <c r="M78" s="379">
        <f t="shared" si="54"/>
        <v>7357</v>
      </c>
      <c r="N78" s="380">
        <f t="shared" si="55"/>
        <v>638.3888888888888</v>
      </c>
    </row>
    <row r="79" spans="1:15" x14ac:dyDescent="0.2">
      <c r="A79" s="378" t="s">
        <v>185</v>
      </c>
      <c r="B79" s="379"/>
      <c r="C79" s="379">
        <v>1003</v>
      </c>
      <c r="D79" s="379">
        <v>5618</v>
      </c>
      <c r="E79" s="379">
        <f t="shared" si="47"/>
        <v>468.16666666666669</v>
      </c>
      <c r="F79" s="379">
        <v>128</v>
      </c>
      <c r="G79" s="379">
        <v>593</v>
      </c>
      <c r="H79" s="379">
        <f t="shared" si="48"/>
        <v>65.888888888888886</v>
      </c>
      <c r="I79" s="379">
        <v>29</v>
      </c>
      <c r="J79" s="379">
        <v>120</v>
      </c>
      <c r="K79" s="379">
        <f t="shared" si="49"/>
        <v>10</v>
      </c>
      <c r="L79" s="379">
        <f t="shared" si="53"/>
        <v>1160</v>
      </c>
      <c r="M79" s="379">
        <f t="shared" si="54"/>
        <v>6331</v>
      </c>
      <c r="N79" s="380">
        <f t="shared" si="55"/>
        <v>544.05555555555554</v>
      </c>
    </row>
    <row r="80" spans="1:15" x14ac:dyDescent="0.2">
      <c r="A80" s="378" t="s">
        <v>162</v>
      </c>
      <c r="B80" s="379"/>
      <c r="C80" s="379">
        <v>976</v>
      </c>
      <c r="D80" s="379">
        <v>5463</v>
      </c>
      <c r="E80" s="379">
        <f t="shared" si="47"/>
        <v>455.25</v>
      </c>
      <c r="F80" s="379">
        <v>128</v>
      </c>
      <c r="G80" s="379">
        <v>757</v>
      </c>
      <c r="H80" s="379">
        <f t="shared" si="48"/>
        <v>84.111111111111114</v>
      </c>
      <c r="I80" s="379">
        <v>35</v>
      </c>
      <c r="J80" s="379">
        <v>157</v>
      </c>
      <c r="K80" s="379">
        <f t="shared" si="49"/>
        <v>13.083333333333334</v>
      </c>
      <c r="L80" s="379">
        <f t="shared" si="53"/>
        <v>1139</v>
      </c>
      <c r="M80" s="379">
        <f t="shared" si="54"/>
        <v>6377</v>
      </c>
      <c r="N80" s="380">
        <f t="shared" si="55"/>
        <v>552.44444444444446</v>
      </c>
    </row>
    <row r="81" spans="1:14" x14ac:dyDescent="0.2">
      <c r="A81" s="378" t="s">
        <v>126</v>
      </c>
      <c r="B81" s="379"/>
      <c r="C81" s="379">
        <v>1088</v>
      </c>
      <c r="D81" s="379">
        <v>6655</v>
      </c>
      <c r="E81" s="379">
        <f t="shared" si="47"/>
        <v>554.58333333333337</v>
      </c>
      <c r="F81" s="379">
        <v>106</v>
      </c>
      <c r="G81" s="379">
        <v>596</v>
      </c>
      <c r="H81" s="379">
        <f t="shared" si="48"/>
        <v>66.222222222222229</v>
      </c>
      <c r="I81" s="379">
        <v>39</v>
      </c>
      <c r="J81" s="379">
        <v>165</v>
      </c>
      <c r="K81" s="379">
        <f t="shared" si="49"/>
        <v>13.75</v>
      </c>
      <c r="L81" s="379">
        <f t="shared" si="53"/>
        <v>1233</v>
      </c>
      <c r="M81" s="379">
        <f t="shared" si="54"/>
        <v>7416</v>
      </c>
      <c r="N81" s="380">
        <f t="shared" si="55"/>
        <v>634.55555555555566</v>
      </c>
    </row>
    <row r="82" spans="1:14" x14ac:dyDescent="0.2">
      <c r="A82" s="378" t="s">
        <v>114</v>
      </c>
      <c r="B82" s="379"/>
      <c r="C82" s="379">
        <v>1077</v>
      </c>
      <c r="D82" s="379">
        <v>6440</v>
      </c>
      <c r="E82" s="379">
        <f t="shared" si="47"/>
        <v>536.66666666666663</v>
      </c>
      <c r="F82" s="379">
        <v>132</v>
      </c>
      <c r="G82" s="379">
        <v>938</v>
      </c>
      <c r="H82" s="379">
        <f t="shared" si="48"/>
        <v>104.22222222222223</v>
      </c>
      <c r="I82" s="379">
        <v>35</v>
      </c>
      <c r="J82" s="379">
        <v>170</v>
      </c>
      <c r="K82" s="379">
        <f t="shared" si="49"/>
        <v>14.166666666666666</v>
      </c>
      <c r="L82" s="379">
        <f t="shared" si="53"/>
        <v>1244</v>
      </c>
      <c r="M82" s="379">
        <f t="shared" si="54"/>
        <v>7548</v>
      </c>
      <c r="N82" s="380">
        <f t="shared" si="55"/>
        <v>655.05555555555554</v>
      </c>
    </row>
    <row r="83" spans="1:14" x14ac:dyDescent="0.2">
      <c r="A83" s="378" t="s">
        <v>105</v>
      </c>
      <c r="B83" s="379" t="s">
        <v>29</v>
      </c>
      <c r="C83" s="379">
        <v>1120</v>
      </c>
      <c r="D83" s="379">
        <v>6818</v>
      </c>
      <c r="E83" s="379">
        <f t="shared" si="47"/>
        <v>568.16666666666663</v>
      </c>
      <c r="F83" s="379">
        <v>117</v>
      </c>
      <c r="G83" s="379">
        <v>777</v>
      </c>
      <c r="H83" s="379">
        <f t="shared" si="48"/>
        <v>86.333333333333329</v>
      </c>
      <c r="I83" s="379">
        <v>62</v>
      </c>
      <c r="J83" s="379">
        <v>286</v>
      </c>
      <c r="K83" s="379">
        <f t="shared" si="49"/>
        <v>23.833333333333332</v>
      </c>
      <c r="L83" s="379">
        <f t="shared" si="53"/>
        <v>1299</v>
      </c>
      <c r="M83" s="379">
        <f t="shared" si="54"/>
        <v>7881</v>
      </c>
      <c r="N83" s="380">
        <f t="shared" si="55"/>
        <v>678.33333333333337</v>
      </c>
    </row>
    <row r="84" spans="1:14" x14ac:dyDescent="0.2">
      <c r="A84" s="378" t="s">
        <v>100</v>
      </c>
      <c r="B84" s="379" t="s">
        <v>29</v>
      </c>
      <c r="C84" s="379">
        <v>1055</v>
      </c>
      <c r="D84" s="379">
        <v>6230</v>
      </c>
      <c r="E84" s="379">
        <f t="shared" si="47"/>
        <v>519.16666666666663</v>
      </c>
      <c r="F84" s="379">
        <v>76</v>
      </c>
      <c r="G84" s="379">
        <v>571</v>
      </c>
      <c r="H84" s="379">
        <f t="shared" si="48"/>
        <v>63.444444444444443</v>
      </c>
      <c r="I84" s="379">
        <v>69</v>
      </c>
      <c r="J84" s="379">
        <v>328</v>
      </c>
      <c r="K84" s="379">
        <f t="shared" si="49"/>
        <v>27.333333333333332</v>
      </c>
      <c r="L84" s="379">
        <f t="shared" si="53"/>
        <v>1200</v>
      </c>
      <c r="M84" s="379">
        <f t="shared" si="54"/>
        <v>7129</v>
      </c>
      <c r="N84" s="380">
        <f t="shared" si="55"/>
        <v>609.94444444444446</v>
      </c>
    </row>
    <row r="85" spans="1:14" x14ac:dyDescent="0.2">
      <c r="A85" s="382" t="s">
        <v>95</v>
      </c>
      <c r="B85" s="379" t="s">
        <v>29</v>
      </c>
      <c r="C85" s="379">
        <v>1032</v>
      </c>
      <c r="D85" s="379">
        <v>6460</v>
      </c>
      <c r="E85" s="379">
        <f t="shared" si="47"/>
        <v>538.33333333333337</v>
      </c>
      <c r="F85" s="379">
        <v>117</v>
      </c>
      <c r="G85" s="379">
        <v>833</v>
      </c>
      <c r="H85" s="379">
        <f t="shared" si="48"/>
        <v>92.555555555555557</v>
      </c>
      <c r="I85" s="379">
        <v>116</v>
      </c>
      <c r="J85" s="379">
        <v>673</v>
      </c>
      <c r="K85" s="379">
        <f t="shared" si="49"/>
        <v>56.083333333333336</v>
      </c>
      <c r="L85" s="379">
        <f t="shared" si="53"/>
        <v>1265</v>
      </c>
      <c r="M85" s="379">
        <f t="shared" si="54"/>
        <v>7966</v>
      </c>
      <c r="N85" s="380">
        <f t="shared" si="55"/>
        <v>686.97222222222229</v>
      </c>
    </row>
    <row r="86" spans="1:14" ht="13.5" thickBot="1" x14ac:dyDescent="0.25">
      <c r="A86" s="401" t="s">
        <v>61</v>
      </c>
      <c r="B86" s="395" t="s">
        <v>29</v>
      </c>
      <c r="C86" s="395">
        <v>971</v>
      </c>
      <c r="D86" s="395">
        <v>6040</v>
      </c>
      <c r="E86" s="395">
        <f t="shared" si="47"/>
        <v>503.33333333333331</v>
      </c>
      <c r="F86" s="395">
        <v>63</v>
      </c>
      <c r="G86" s="395">
        <v>325</v>
      </c>
      <c r="H86" s="395">
        <f t="shared" si="48"/>
        <v>36.111111111111114</v>
      </c>
      <c r="I86" s="395">
        <v>58</v>
      </c>
      <c r="J86" s="395">
        <v>252</v>
      </c>
      <c r="K86" s="395">
        <f t="shared" si="49"/>
        <v>21</v>
      </c>
      <c r="L86" s="395">
        <f t="shared" si="53"/>
        <v>1092</v>
      </c>
      <c r="M86" s="395">
        <f t="shared" si="54"/>
        <v>6617</v>
      </c>
      <c r="N86" s="396">
        <f t="shared" si="55"/>
        <v>560.44444444444446</v>
      </c>
    </row>
    <row r="87" spans="1:14" hidden="1" x14ac:dyDescent="0.2">
      <c r="A87" s="392" t="s">
        <v>56</v>
      </c>
      <c r="B87" s="393" t="s">
        <v>57</v>
      </c>
      <c r="C87" s="393">
        <v>981</v>
      </c>
      <c r="D87" s="393">
        <v>6091</v>
      </c>
      <c r="E87" s="393">
        <f t="shared" si="47"/>
        <v>507.58333333333331</v>
      </c>
      <c r="F87" s="393">
        <v>19</v>
      </c>
      <c r="G87" s="393">
        <v>66</v>
      </c>
      <c r="H87" s="393">
        <f>+G87/9</f>
        <v>7.333333333333333</v>
      </c>
      <c r="I87" s="393">
        <v>74</v>
      </c>
      <c r="J87" s="393">
        <v>333</v>
      </c>
      <c r="K87" s="393">
        <f t="shared" si="49"/>
        <v>27.75</v>
      </c>
      <c r="L87" s="393">
        <f t="shared" si="53"/>
        <v>1074</v>
      </c>
      <c r="M87" s="393">
        <f t="shared" si="54"/>
        <v>6490</v>
      </c>
      <c r="N87" s="394">
        <f t="shared" si="55"/>
        <v>542.66666666666663</v>
      </c>
    </row>
    <row r="88" spans="1:14" hidden="1" x14ac:dyDescent="0.2">
      <c r="A88" s="382" t="s">
        <v>51</v>
      </c>
      <c r="B88" s="379" t="s">
        <v>29</v>
      </c>
      <c r="C88" s="379">
        <v>909</v>
      </c>
      <c r="D88" s="379">
        <v>5322</v>
      </c>
      <c r="E88" s="379">
        <f t="shared" si="47"/>
        <v>443.5</v>
      </c>
      <c r="F88" s="379">
        <v>199</v>
      </c>
      <c r="G88" s="379">
        <v>733</v>
      </c>
      <c r="H88" s="379">
        <f>+G88/9</f>
        <v>81.444444444444443</v>
      </c>
      <c r="I88" s="379">
        <v>164</v>
      </c>
      <c r="J88" s="379">
        <v>770</v>
      </c>
      <c r="K88" s="379">
        <f t="shared" si="49"/>
        <v>64.166666666666671</v>
      </c>
      <c r="L88" s="379">
        <f t="shared" si="53"/>
        <v>1272</v>
      </c>
      <c r="M88" s="379">
        <f t="shared" si="54"/>
        <v>6825</v>
      </c>
      <c r="N88" s="380">
        <f t="shared" si="55"/>
        <v>589.11111111111109</v>
      </c>
    </row>
    <row r="89" spans="1:14" hidden="1" x14ac:dyDescent="0.2">
      <c r="A89" s="382" t="s">
        <v>52</v>
      </c>
      <c r="B89" s="379" t="s">
        <v>46</v>
      </c>
      <c r="C89" s="379"/>
      <c r="D89" s="379"/>
      <c r="E89" s="379">
        <f t="shared" si="47"/>
        <v>0</v>
      </c>
      <c r="F89" s="379"/>
      <c r="G89" s="379"/>
      <c r="H89" s="379">
        <f>+G89/9</f>
        <v>0</v>
      </c>
      <c r="I89" s="379"/>
      <c r="J89" s="379"/>
      <c r="K89" s="379">
        <f t="shared" si="49"/>
        <v>0</v>
      </c>
      <c r="L89" s="379">
        <f t="shared" si="53"/>
        <v>0</v>
      </c>
      <c r="M89" s="379">
        <f t="shared" si="54"/>
        <v>0</v>
      </c>
      <c r="N89" s="380">
        <f t="shared" si="55"/>
        <v>0</v>
      </c>
    </row>
    <row r="90" spans="1:14" hidden="1" x14ac:dyDescent="0.2">
      <c r="A90" s="382" t="s">
        <v>53</v>
      </c>
      <c r="B90" s="379" t="s">
        <v>29</v>
      </c>
      <c r="C90" s="379">
        <v>942</v>
      </c>
      <c r="D90" s="379">
        <v>5800</v>
      </c>
      <c r="E90" s="379">
        <f t="shared" si="47"/>
        <v>483.33333333333331</v>
      </c>
      <c r="F90" s="379">
        <v>114</v>
      </c>
      <c r="G90" s="379">
        <v>426</v>
      </c>
      <c r="H90" s="379">
        <f>+G90/9</f>
        <v>47.333333333333336</v>
      </c>
      <c r="I90" s="379">
        <v>97</v>
      </c>
      <c r="J90" s="379">
        <v>455</v>
      </c>
      <c r="K90" s="379">
        <f t="shared" si="49"/>
        <v>37.916666666666664</v>
      </c>
      <c r="L90" s="379">
        <f t="shared" si="53"/>
        <v>1153</v>
      </c>
      <c r="M90" s="379">
        <f t="shared" si="54"/>
        <v>6681</v>
      </c>
      <c r="N90" s="380">
        <f t="shared" si="55"/>
        <v>568.58333333333326</v>
      </c>
    </row>
    <row r="91" spans="1:14" hidden="1" x14ac:dyDescent="0.2">
      <c r="A91" s="382" t="s">
        <v>54</v>
      </c>
      <c r="B91" s="379" t="s">
        <v>29</v>
      </c>
      <c r="C91" s="379">
        <v>1188</v>
      </c>
      <c r="D91" s="379">
        <v>6894</v>
      </c>
      <c r="E91" s="379">
        <f>D91/12</f>
        <v>574.5</v>
      </c>
      <c r="F91" s="379">
        <v>141</v>
      </c>
      <c r="G91" s="379">
        <v>595</v>
      </c>
      <c r="H91" s="379">
        <f>G91/9</f>
        <v>66.111111111111114</v>
      </c>
      <c r="I91" s="379">
        <v>93</v>
      </c>
      <c r="J91" s="379">
        <v>437</v>
      </c>
      <c r="K91" s="379">
        <f t="shared" si="49"/>
        <v>36.416666666666664</v>
      </c>
      <c r="L91" s="379">
        <f t="shared" si="53"/>
        <v>1422</v>
      </c>
      <c r="M91" s="379">
        <f t="shared" si="54"/>
        <v>7926</v>
      </c>
      <c r="N91" s="380">
        <f t="shared" si="55"/>
        <v>677.02777777777771</v>
      </c>
    </row>
    <row r="92" spans="1:14" ht="13.5" hidden="1" thickBot="1" x14ac:dyDescent="0.25">
      <c r="A92" s="395"/>
      <c r="B92" s="395"/>
      <c r="C92" s="395"/>
      <c r="D92" s="395"/>
      <c r="E92" s="395"/>
      <c r="F92" s="395"/>
      <c r="G92" s="395"/>
      <c r="H92" s="395"/>
      <c r="I92" s="395"/>
      <c r="J92" s="395"/>
      <c r="K92" s="395"/>
      <c r="L92" s="395"/>
      <c r="M92" s="395"/>
      <c r="N92" s="396"/>
    </row>
    <row r="93" spans="1:14" x14ac:dyDescent="0.2">
      <c r="A93" s="379"/>
      <c r="B93" s="379"/>
      <c r="C93" s="379"/>
      <c r="D93" s="379"/>
      <c r="E93" s="379"/>
      <c r="F93" s="379"/>
      <c r="G93" s="379"/>
      <c r="H93" s="379"/>
      <c r="I93" s="379"/>
      <c r="J93" s="379"/>
      <c r="K93" s="379"/>
      <c r="L93" s="379"/>
      <c r="M93" s="379"/>
      <c r="N93" s="379"/>
    </row>
    <row r="94" spans="1:14" x14ac:dyDescent="0.2">
      <c r="A94" s="379"/>
      <c r="B94" s="379"/>
      <c r="C94" s="379"/>
      <c r="D94" s="379"/>
      <c r="E94" s="379"/>
      <c r="F94" s="379"/>
      <c r="G94" s="379"/>
      <c r="H94" s="379"/>
      <c r="I94" s="379"/>
      <c r="J94" s="379"/>
      <c r="K94" s="379"/>
      <c r="L94" s="379"/>
      <c r="M94" s="379"/>
      <c r="N94" s="379"/>
    </row>
    <row r="95" spans="1:14" x14ac:dyDescent="0.2">
      <c r="A95" s="379"/>
      <c r="B95" s="379"/>
      <c r="C95" s="379"/>
      <c r="D95" s="379"/>
      <c r="E95" s="379"/>
      <c r="F95" s="379"/>
      <c r="G95" s="379"/>
      <c r="H95" s="379"/>
      <c r="I95" s="379"/>
      <c r="J95" s="379"/>
      <c r="K95" s="379"/>
      <c r="L95" s="379"/>
      <c r="M95" s="379"/>
      <c r="N95" s="379"/>
    </row>
    <row r="96" spans="1:14" x14ac:dyDescent="0.2">
      <c r="A96" s="379"/>
      <c r="B96" s="379"/>
      <c r="C96" s="379"/>
      <c r="D96" s="379"/>
      <c r="E96" s="379"/>
      <c r="F96" s="379"/>
      <c r="G96" s="379"/>
      <c r="H96" s="379"/>
      <c r="I96" s="379"/>
      <c r="J96" s="379"/>
      <c r="K96" s="379"/>
      <c r="L96" s="379"/>
      <c r="M96" s="379"/>
      <c r="N96" s="379"/>
    </row>
    <row r="97" spans="1:14" x14ac:dyDescent="0.2">
      <c r="A97" s="379"/>
      <c r="B97" s="379"/>
      <c r="C97" s="379"/>
      <c r="D97" s="379"/>
      <c r="E97" s="379"/>
      <c r="F97" s="379"/>
      <c r="G97" s="379"/>
      <c r="H97" s="379"/>
      <c r="I97" s="379"/>
      <c r="J97" s="379"/>
      <c r="K97" s="379"/>
      <c r="L97" s="379"/>
      <c r="M97" s="379"/>
      <c r="N97" s="379"/>
    </row>
    <row r="98" spans="1:14" x14ac:dyDescent="0.2">
      <c r="A98" s="379"/>
      <c r="B98" s="379"/>
      <c r="C98" s="379"/>
      <c r="D98" s="379"/>
      <c r="E98" s="379"/>
      <c r="F98" s="379"/>
      <c r="G98" s="379"/>
      <c r="H98" s="379"/>
      <c r="I98" s="379"/>
      <c r="J98" s="379"/>
      <c r="K98" s="379"/>
      <c r="L98" s="379"/>
      <c r="M98" s="379"/>
      <c r="N98" s="379"/>
    </row>
    <row r="99" spans="1:14" x14ac:dyDescent="0.2">
      <c r="A99" s="379"/>
      <c r="B99" s="379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  <c r="N99" s="379"/>
    </row>
    <row r="100" spans="1:14" x14ac:dyDescent="0.2">
      <c r="A100" s="379"/>
      <c r="B100" s="379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79"/>
      <c r="N100" s="379"/>
    </row>
    <row r="101" spans="1:14" x14ac:dyDescent="0.2">
      <c r="A101" s="379"/>
      <c r="B101" s="379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  <c r="N101" s="379"/>
    </row>
    <row r="102" spans="1:14" x14ac:dyDescent="0.2">
      <c r="A102" s="379"/>
      <c r="B102" s="379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  <c r="N102" s="379"/>
    </row>
    <row r="103" spans="1:14" x14ac:dyDescent="0.2">
      <c r="A103" s="379"/>
      <c r="B103" s="379"/>
      <c r="C103" s="379"/>
      <c r="D103" s="379"/>
      <c r="E103" s="379"/>
      <c r="F103" s="379"/>
      <c r="G103" s="379"/>
      <c r="H103" s="379"/>
      <c r="I103" s="379"/>
      <c r="J103" s="379"/>
      <c r="K103" s="379"/>
      <c r="L103" s="379"/>
      <c r="M103" s="379"/>
      <c r="N103" s="379"/>
    </row>
    <row r="104" spans="1:14" x14ac:dyDescent="0.2">
      <c r="A104" s="379"/>
      <c r="B104" s="379"/>
      <c r="C104" s="379"/>
      <c r="D104" s="379"/>
      <c r="E104" s="379"/>
      <c r="F104" s="379"/>
      <c r="G104" s="379"/>
      <c r="H104" s="379"/>
      <c r="I104" s="379"/>
      <c r="J104" s="379"/>
      <c r="K104" s="379"/>
      <c r="L104" s="379"/>
      <c r="M104" s="379"/>
      <c r="N104" s="379"/>
    </row>
    <row r="105" spans="1:14" x14ac:dyDescent="0.2">
      <c r="A105" s="379"/>
      <c r="B105" s="379"/>
      <c r="C105" s="379"/>
      <c r="D105" s="379"/>
      <c r="E105" s="379"/>
      <c r="F105" s="379"/>
      <c r="G105" s="379"/>
      <c r="H105" s="379"/>
      <c r="I105" s="379"/>
      <c r="J105" s="379"/>
      <c r="K105" s="379"/>
      <c r="L105" s="379"/>
      <c r="M105" s="379"/>
      <c r="N105" s="379"/>
    </row>
    <row r="106" spans="1:14" x14ac:dyDescent="0.2">
      <c r="A106" s="379"/>
      <c r="B106" s="379"/>
      <c r="C106" s="379"/>
      <c r="D106" s="379"/>
      <c r="E106" s="379"/>
      <c r="F106" s="379"/>
      <c r="G106" s="379"/>
      <c r="H106" s="379"/>
      <c r="I106" s="379"/>
      <c r="J106" s="379"/>
      <c r="K106" s="379"/>
      <c r="L106" s="379"/>
      <c r="M106" s="379"/>
      <c r="N106" s="379"/>
    </row>
    <row r="107" spans="1:14" x14ac:dyDescent="0.2">
      <c r="A107" s="379"/>
      <c r="B107" s="379"/>
      <c r="C107" s="379"/>
      <c r="D107" s="379"/>
      <c r="E107" s="379"/>
      <c r="F107" s="379"/>
      <c r="G107" s="379"/>
      <c r="H107" s="379"/>
      <c r="I107" s="379"/>
      <c r="J107" s="379"/>
      <c r="K107" s="379"/>
      <c r="L107" s="379"/>
      <c r="M107" s="379"/>
      <c r="N107" s="379"/>
    </row>
    <row r="108" spans="1:14" ht="13.5" thickBot="1" x14ac:dyDescent="0.25">
      <c r="A108" s="379"/>
      <c r="B108" s="379"/>
      <c r="C108" s="379"/>
      <c r="D108" s="379"/>
      <c r="E108" s="379"/>
      <c r="F108" s="379"/>
      <c r="G108" s="379"/>
      <c r="H108" s="379"/>
      <c r="I108" s="379"/>
      <c r="J108" s="379"/>
      <c r="K108" s="379"/>
      <c r="L108" s="379"/>
      <c r="M108" s="379"/>
      <c r="N108" s="379"/>
    </row>
    <row r="109" spans="1:14" ht="18.75" x14ac:dyDescent="0.3">
      <c r="A109" s="604" t="s">
        <v>35</v>
      </c>
      <c r="B109" s="605"/>
      <c r="C109" s="605"/>
      <c r="D109" s="605"/>
      <c r="E109" s="605"/>
      <c r="F109" s="605"/>
      <c r="G109" s="605"/>
      <c r="H109" s="605"/>
      <c r="I109" s="605"/>
      <c r="J109" s="605"/>
      <c r="K109" s="605"/>
      <c r="L109" s="605"/>
      <c r="M109" s="605"/>
      <c r="N109" s="606"/>
    </row>
    <row r="110" spans="1:14" ht="20.25" customHeight="1" x14ac:dyDescent="0.2">
      <c r="A110" s="397"/>
      <c r="B110" s="373"/>
      <c r="C110" s="598" t="s">
        <v>20</v>
      </c>
      <c r="D110" s="598"/>
      <c r="E110" s="598"/>
      <c r="F110" s="598" t="s">
        <v>21</v>
      </c>
      <c r="G110" s="598"/>
      <c r="H110" s="598"/>
      <c r="I110" s="598" t="s">
        <v>20</v>
      </c>
      <c r="J110" s="598"/>
      <c r="K110" s="598"/>
      <c r="L110" s="598" t="s">
        <v>22</v>
      </c>
      <c r="M110" s="598"/>
      <c r="N110" s="598"/>
    </row>
    <row r="111" spans="1:14" x14ac:dyDescent="0.2">
      <c r="A111" s="368"/>
      <c r="B111" s="398"/>
      <c r="C111" s="598" t="s">
        <v>23</v>
      </c>
      <c r="D111" s="598"/>
      <c r="E111" s="598"/>
      <c r="F111" s="598" t="s">
        <v>23</v>
      </c>
      <c r="G111" s="598"/>
      <c r="H111" s="598"/>
      <c r="I111" s="598" t="s">
        <v>24</v>
      </c>
      <c r="J111" s="598"/>
      <c r="K111" s="598"/>
      <c r="L111" s="598" t="s">
        <v>36</v>
      </c>
      <c r="M111" s="598"/>
      <c r="N111" s="598"/>
    </row>
    <row r="112" spans="1:14" x14ac:dyDescent="0.2">
      <c r="A112" s="370" t="s">
        <v>128</v>
      </c>
      <c r="B112" s="398"/>
      <c r="C112" s="371" t="s">
        <v>72</v>
      </c>
      <c r="D112" s="371" t="s">
        <v>115</v>
      </c>
      <c r="E112" s="371" t="s">
        <v>116</v>
      </c>
      <c r="F112" s="371" t="s">
        <v>72</v>
      </c>
      <c r="G112" s="371" t="s">
        <v>115</v>
      </c>
      <c r="H112" s="371" t="s">
        <v>116</v>
      </c>
      <c r="I112" s="371" t="s">
        <v>72</v>
      </c>
      <c r="J112" s="371" t="s">
        <v>115</v>
      </c>
      <c r="K112" s="371" t="s">
        <v>116</v>
      </c>
      <c r="L112" s="371" t="s">
        <v>72</v>
      </c>
      <c r="M112" s="371" t="s">
        <v>115</v>
      </c>
      <c r="N112" s="371" t="s">
        <v>116</v>
      </c>
    </row>
    <row r="113" spans="1:14" ht="13.5" thickBot="1" x14ac:dyDescent="0.25">
      <c r="A113" s="372" t="s">
        <v>643</v>
      </c>
      <c r="B113" s="373"/>
      <c r="C113" s="373"/>
      <c r="D113" s="373"/>
      <c r="E113" s="373"/>
      <c r="F113" s="373"/>
      <c r="G113" s="373"/>
      <c r="H113" s="373"/>
      <c r="I113" s="373"/>
      <c r="J113" s="373"/>
      <c r="K113" s="373"/>
      <c r="L113" s="373"/>
      <c r="M113" s="373"/>
      <c r="N113" s="374"/>
    </row>
    <row r="114" spans="1:14" s="136" customFormat="1" x14ac:dyDescent="0.2">
      <c r="A114" s="375" t="s">
        <v>1432</v>
      </c>
      <c r="B114" s="376"/>
      <c r="C114" s="376">
        <v>39</v>
      </c>
      <c r="D114" s="376">
        <v>509</v>
      </c>
      <c r="E114" s="376">
        <f>D114/12</f>
        <v>42.416666666666664</v>
      </c>
      <c r="F114" s="376">
        <v>7</v>
      </c>
      <c r="G114" s="376">
        <v>65</v>
      </c>
      <c r="H114" s="376">
        <f>G114/9</f>
        <v>7.2222222222222223</v>
      </c>
      <c r="I114" s="376">
        <v>16</v>
      </c>
      <c r="J114" s="376">
        <v>168</v>
      </c>
      <c r="K114" s="376">
        <f>J114/12</f>
        <v>14</v>
      </c>
      <c r="L114" s="376">
        <f t="shared" ref="L114" si="56">C114+F114+I114</f>
        <v>62</v>
      </c>
      <c r="M114" s="376">
        <f t="shared" ref="M114" si="57">D114+G114+J114</f>
        <v>742</v>
      </c>
      <c r="N114" s="377">
        <f t="shared" ref="N114" si="58">E114+H114+K114</f>
        <v>63.638888888888886</v>
      </c>
    </row>
    <row r="115" spans="1:14" x14ac:dyDescent="0.2">
      <c r="A115" s="378" t="s">
        <v>641</v>
      </c>
      <c r="B115" s="379"/>
      <c r="C115" s="379">
        <v>36</v>
      </c>
      <c r="D115" s="379">
        <v>424</v>
      </c>
      <c r="E115" s="379">
        <f>D115/12</f>
        <v>35.333333333333336</v>
      </c>
      <c r="F115" s="379">
        <v>22</v>
      </c>
      <c r="G115" s="379">
        <v>191</v>
      </c>
      <c r="H115" s="379">
        <f>G115/9</f>
        <v>21.222222222222221</v>
      </c>
      <c r="I115" s="379">
        <v>0</v>
      </c>
      <c r="J115" s="379">
        <v>0</v>
      </c>
      <c r="K115" s="379">
        <f>J115/12</f>
        <v>0</v>
      </c>
      <c r="L115" s="379">
        <f t="shared" ref="L115" si="59">C115+F115+I115</f>
        <v>58</v>
      </c>
      <c r="M115" s="379">
        <f t="shared" ref="M115" si="60">D115+G115+J115</f>
        <v>615</v>
      </c>
      <c r="N115" s="380">
        <f t="shared" ref="N115" si="61">E115+H115+K115</f>
        <v>56.555555555555557</v>
      </c>
    </row>
    <row r="116" spans="1:14" x14ac:dyDescent="0.2">
      <c r="A116" s="378" t="s">
        <v>348</v>
      </c>
      <c r="B116" s="379"/>
      <c r="C116" s="379">
        <v>28</v>
      </c>
      <c r="D116" s="379">
        <v>354</v>
      </c>
      <c r="E116" s="379">
        <f>D116/12</f>
        <v>29.5</v>
      </c>
      <c r="F116" s="379">
        <v>8</v>
      </c>
      <c r="G116" s="379">
        <v>70</v>
      </c>
      <c r="H116" s="379">
        <f>+G116/9</f>
        <v>7.7777777777777777</v>
      </c>
      <c r="I116" s="379">
        <v>1</v>
      </c>
      <c r="J116" s="379">
        <v>4</v>
      </c>
      <c r="K116" s="379">
        <f>+J116/12</f>
        <v>0.33333333333333331</v>
      </c>
      <c r="L116" s="379">
        <f t="shared" ref="L116" si="62">+C116+F116+I116</f>
        <v>37</v>
      </c>
      <c r="M116" s="379">
        <f t="shared" ref="M116" si="63">+D116+G116+J116</f>
        <v>428</v>
      </c>
      <c r="N116" s="380">
        <f t="shared" ref="N116" si="64">+E116+H116+K116</f>
        <v>37.611111111111114</v>
      </c>
    </row>
    <row r="117" spans="1:14" x14ac:dyDescent="0.2">
      <c r="A117" s="378" t="s">
        <v>322</v>
      </c>
      <c r="B117" s="379"/>
      <c r="C117" s="379">
        <v>42</v>
      </c>
      <c r="D117" s="379">
        <v>486</v>
      </c>
      <c r="E117" s="379">
        <f>D117/12</f>
        <v>40.5</v>
      </c>
      <c r="F117" s="379">
        <v>7</v>
      </c>
      <c r="G117" s="379">
        <v>58</v>
      </c>
      <c r="H117" s="379">
        <f>+G117/9</f>
        <v>6.4444444444444446</v>
      </c>
      <c r="I117" s="379">
        <v>5</v>
      </c>
      <c r="J117" s="379">
        <v>52</v>
      </c>
      <c r="K117" s="379">
        <f>+J117/12</f>
        <v>4.333333333333333</v>
      </c>
      <c r="L117" s="379">
        <f t="shared" ref="L117:N118" si="65">+C117+F117+I117</f>
        <v>54</v>
      </c>
      <c r="M117" s="379">
        <f t="shared" si="65"/>
        <v>596</v>
      </c>
      <c r="N117" s="380">
        <f t="shared" si="65"/>
        <v>51.277777777777779</v>
      </c>
    </row>
    <row r="118" spans="1:14" x14ac:dyDescent="0.2">
      <c r="A118" s="378" t="s">
        <v>297</v>
      </c>
      <c r="B118" s="379"/>
      <c r="C118" s="379">
        <v>49</v>
      </c>
      <c r="D118" s="379">
        <v>616</v>
      </c>
      <c r="E118" s="379">
        <f>D118/12</f>
        <v>51.333333333333336</v>
      </c>
      <c r="F118" s="379">
        <v>11</v>
      </c>
      <c r="G118" s="379">
        <v>88</v>
      </c>
      <c r="H118" s="379">
        <f>+G118/9</f>
        <v>9.7777777777777786</v>
      </c>
      <c r="I118" s="379">
        <v>5</v>
      </c>
      <c r="J118" s="379">
        <v>46</v>
      </c>
      <c r="K118" s="379">
        <f>+J118/12</f>
        <v>3.8333333333333335</v>
      </c>
      <c r="L118" s="379">
        <f t="shared" si="65"/>
        <v>65</v>
      </c>
      <c r="M118" s="379">
        <f t="shared" si="65"/>
        <v>750</v>
      </c>
      <c r="N118" s="380">
        <f t="shared" si="65"/>
        <v>64.944444444444443</v>
      </c>
    </row>
    <row r="119" spans="1:14" x14ac:dyDescent="0.2">
      <c r="A119" s="378" t="s">
        <v>287</v>
      </c>
      <c r="B119" s="379"/>
      <c r="C119" s="379">
        <v>55</v>
      </c>
      <c r="D119" s="379">
        <v>691</v>
      </c>
      <c r="E119" s="379">
        <f t="shared" ref="E119:E134" si="66">D119/12</f>
        <v>57.583333333333336</v>
      </c>
      <c r="F119" s="379">
        <v>14</v>
      </c>
      <c r="G119" s="379">
        <v>114</v>
      </c>
      <c r="H119" s="379">
        <f t="shared" ref="H119:H134" si="67">G119/9</f>
        <v>12.666666666666666</v>
      </c>
      <c r="I119" s="379">
        <v>4</v>
      </c>
      <c r="J119" s="379">
        <v>30</v>
      </c>
      <c r="K119" s="379">
        <f t="shared" ref="K119:K134" si="68">J119/12</f>
        <v>2.5</v>
      </c>
      <c r="L119" s="379">
        <f t="shared" ref="L119:L136" si="69">+C119+F119+I119</f>
        <v>73</v>
      </c>
      <c r="M119" s="379">
        <f t="shared" ref="M119:M136" si="70">+D119+G119+J119</f>
        <v>835</v>
      </c>
      <c r="N119" s="380">
        <f t="shared" ref="N119:N136" si="71">+E119+H119+K119</f>
        <v>72.75</v>
      </c>
    </row>
    <row r="120" spans="1:14" x14ac:dyDescent="0.2">
      <c r="A120" s="378" t="s">
        <v>211</v>
      </c>
      <c r="B120" s="379"/>
      <c r="C120" s="379">
        <v>49</v>
      </c>
      <c r="D120" s="379">
        <v>611</v>
      </c>
      <c r="E120" s="379">
        <f t="shared" si="66"/>
        <v>50.916666666666664</v>
      </c>
      <c r="F120" s="379">
        <v>13</v>
      </c>
      <c r="G120" s="379">
        <v>95</v>
      </c>
      <c r="H120" s="379">
        <f t="shared" si="67"/>
        <v>10.555555555555555</v>
      </c>
      <c r="I120" s="379">
        <v>3</v>
      </c>
      <c r="J120" s="379">
        <v>31</v>
      </c>
      <c r="K120" s="379">
        <f t="shared" si="68"/>
        <v>2.5833333333333335</v>
      </c>
      <c r="L120" s="379">
        <f t="shared" si="69"/>
        <v>65</v>
      </c>
      <c r="M120" s="379">
        <f t="shared" si="70"/>
        <v>737</v>
      </c>
      <c r="N120" s="380">
        <f t="shared" si="71"/>
        <v>64.055555555555557</v>
      </c>
    </row>
    <row r="121" spans="1:14" s="136" customFormat="1" x14ac:dyDescent="0.2">
      <c r="A121" s="378" t="s">
        <v>208</v>
      </c>
      <c r="B121" s="379"/>
      <c r="C121" s="379">
        <v>54</v>
      </c>
      <c r="D121" s="379">
        <v>667</v>
      </c>
      <c r="E121" s="379">
        <f t="shared" si="66"/>
        <v>55.583333333333336</v>
      </c>
      <c r="F121" s="379">
        <v>15</v>
      </c>
      <c r="G121" s="379">
        <v>114</v>
      </c>
      <c r="H121" s="379">
        <f t="shared" si="67"/>
        <v>12.666666666666666</v>
      </c>
      <c r="I121" s="379">
        <v>5</v>
      </c>
      <c r="J121" s="379">
        <v>59</v>
      </c>
      <c r="K121" s="379">
        <f t="shared" si="68"/>
        <v>4.916666666666667</v>
      </c>
      <c r="L121" s="379">
        <f t="shared" si="69"/>
        <v>74</v>
      </c>
      <c r="M121" s="379">
        <f t="shared" si="70"/>
        <v>840</v>
      </c>
      <c r="N121" s="380">
        <f t="shared" si="71"/>
        <v>73.166666666666671</v>
      </c>
    </row>
    <row r="122" spans="1:14" s="136" customFormat="1" x14ac:dyDescent="0.2">
      <c r="A122" s="378" t="s">
        <v>203</v>
      </c>
      <c r="B122" s="379"/>
      <c r="C122" s="379">
        <v>39</v>
      </c>
      <c r="D122" s="379">
        <v>495</v>
      </c>
      <c r="E122" s="379">
        <f t="shared" si="66"/>
        <v>41.25</v>
      </c>
      <c r="F122" s="379">
        <v>6</v>
      </c>
      <c r="G122" s="379">
        <v>55</v>
      </c>
      <c r="H122" s="379">
        <f t="shared" si="67"/>
        <v>6.1111111111111107</v>
      </c>
      <c r="I122" s="379">
        <v>1</v>
      </c>
      <c r="J122" s="379">
        <v>4</v>
      </c>
      <c r="K122" s="379">
        <f t="shared" si="68"/>
        <v>0.33333333333333331</v>
      </c>
      <c r="L122" s="379">
        <f t="shared" si="69"/>
        <v>46</v>
      </c>
      <c r="M122" s="379">
        <f t="shared" si="70"/>
        <v>554</v>
      </c>
      <c r="N122" s="380">
        <f t="shared" si="71"/>
        <v>47.69444444444445</v>
      </c>
    </row>
    <row r="123" spans="1:14" x14ac:dyDescent="0.2">
      <c r="A123" s="378" t="s">
        <v>179</v>
      </c>
      <c r="B123" s="379"/>
      <c r="C123" s="379">
        <v>49</v>
      </c>
      <c r="D123" s="379">
        <v>626</v>
      </c>
      <c r="E123" s="379">
        <f t="shared" si="66"/>
        <v>52.166666666666664</v>
      </c>
      <c r="F123" s="379">
        <v>6</v>
      </c>
      <c r="G123" s="379">
        <v>58</v>
      </c>
      <c r="H123" s="379">
        <f t="shared" si="67"/>
        <v>6.4444444444444446</v>
      </c>
      <c r="I123" s="379">
        <v>0</v>
      </c>
      <c r="J123" s="379">
        <v>0</v>
      </c>
      <c r="K123" s="379">
        <f t="shared" si="68"/>
        <v>0</v>
      </c>
      <c r="L123" s="379">
        <f t="shared" si="69"/>
        <v>55</v>
      </c>
      <c r="M123" s="379">
        <f t="shared" si="70"/>
        <v>684</v>
      </c>
      <c r="N123" s="380">
        <f t="shared" si="71"/>
        <v>58.611111111111107</v>
      </c>
    </row>
    <row r="124" spans="1:14" x14ac:dyDescent="0.2">
      <c r="A124" s="378" t="s">
        <v>163</v>
      </c>
      <c r="B124" s="379"/>
      <c r="C124" s="379">
        <v>44</v>
      </c>
      <c r="D124" s="379">
        <v>531</v>
      </c>
      <c r="E124" s="379">
        <f t="shared" si="66"/>
        <v>44.25</v>
      </c>
      <c r="F124" s="379">
        <v>10</v>
      </c>
      <c r="G124" s="379">
        <v>83</v>
      </c>
      <c r="H124" s="379">
        <f t="shared" si="67"/>
        <v>9.2222222222222214</v>
      </c>
      <c r="I124" s="379">
        <v>3</v>
      </c>
      <c r="J124" s="379">
        <v>34</v>
      </c>
      <c r="K124" s="379">
        <f t="shared" si="68"/>
        <v>2.8333333333333335</v>
      </c>
      <c r="L124" s="379">
        <f t="shared" si="69"/>
        <v>57</v>
      </c>
      <c r="M124" s="379">
        <f t="shared" si="70"/>
        <v>648</v>
      </c>
      <c r="N124" s="380">
        <f t="shared" si="71"/>
        <v>56.305555555555557</v>
      </c>
    </row>
    <row r="125" spans="1:14" x14ac:dyDescent="0.2">
      <c r="A125" s="378" t="s">
        <v>127</v>
      </c>
      <c r="B125" s="379"/>
      <c r="C125" s="379">
        <v>32</v>
      </c>
      <c r="D125" s="379">
        <v>373</v>
      </c>
      <c r="E125" s="379">
        <f t="shared" si="66"/>
        <v>31.083333333333332</v>
      </c>
      <c r="F125" s="379">
        <v>11</v>
      </c>
      <c r="G125" s="379">
        <v>93</v>
      </c>
      <c r="H125" s="379">
        <f t="shared" si="67"/>
        <v>10.333333333333334</v>
      </c>
      <c r="I125" s="379">
        <v>0</v>
      </c>
      <c r="J125" s="379">
        <v>0</v>
      </c>
      <c r="K125" s="379">
        <f t="shared" si="68"/>
        <v>0</v>
      </c>
      <c r="L125" s="379">
        <f t="shared" si="69"/>
        <v>43</v>
      </c>
      <c r="M125" s="379">
        <f t="shared" si="70"/>
        <v>466</v>
      </c>
      <c r="N125" s="380">
        <f t="shared" si="71"/>
        <v>41.416666666666664</v>
      </c>
    </row>
    <row r="126" spans="1:14" x14ac:dyDescent="0.2">
      <c r="A126" s="378" t="s">
        <v>113</v>
      </c>
      <c r="B126" s="379" t="s">
        <v>29</v>
      </c>
      <c r="C126" s="379">
        <v>17</v>
      </c>
      <c r="D126" s="379">
        <v>206</v>
      </c>
      <c r="E126" s="379">
        <f t="shared" si="66"/>
        <v>17.166666666666668</v>
      </c>
      <c r="F126" s="379">
        <v>11</v>
      </c>
      <c r="G126" s="379">
        <v>43</v>
      </c>
      <c r="H126" s="379">
        <f t="shared" si="67"/>
        <v>4.7777777777777777</v>
      </c>
      <c r="I126" s="379">
        <v>1</v>
      </c>
      <c r="J126" s="379">
        <v>3</v>
      </c>
      <c r="K126" s="379">
        <f t="shared" si="68"/>
        <v>0.25</v>
      </c>
      <c r="L126" s="379">
        <f t="shared" si="69"/>
        <v>29</v>
      </c>
      <c r="M126" s="379">
        <f t="shared" si="70"/>
        <v>252</v>
      </c>
      <c r="N126" s="380">
        <f t="shared" si="71"/>
        <v>22.194444444444446</v>
      </c>
    </row>
    <row r="127" spans="1:14" x14ac:dyDescent="0.2">
      <c r="A127" s="378" t="s">
        <v>9</v>
      </c>
      <c r="B127" s="379" t="s">
        <v>29</v>
      </c>
      <c r="C127" s="379">
        <v>28</v>
      </c>
      <c r="D127" s="379">
        <v>330</v>
      </c>
      <c r="E127" s="379">
        <f t="shared" si="66"/>
        <v>27.5</v>
      </c>
      <c r="F127" s="379">
        <v>3</v>
      </c>
      <c r="G127" s="379">
        <v>21</v>
      </c>
      <c r="H127" s="379">
        <f t="shared" si="67"/>
        <v>2.3333333333333335</v>
      </c>
      <c r="I127" s="379">
        <v>5</v>
      </c>
      <c r="J127" s="379">
        <v>26</v>
      </c>
      <c r="K127" s="379">
        <f t="shared" si="68"/>
        <v>2.1666666666666665</v>
      </c>
      <c r="L127" s="379">
        <f t="shared" si="69"/>
        <v>36</v>
      </c>
      <c r="M127" s="379">
        <f t="shared" si="70"/>
        <v>377</v>
      </c>
      <c r="N127" s="380">
        <f t="shared" si="71"/>
        <v>32</v>
      </c>
    </row>
    <row r="128" spans="1:14" x14ac:dyDescent="0.2">
      <c r="A128" s="378" t="s">
        <v>99</v>
      </c>
      <c r="B128" s="379" t="s">
        <v>29</v>
      </c>
      <c r="C128" s="379">
        <v>35</v>
      </c>
      <c r="D128" s="379">
        <v>424</v>
      </c>
      <c r="E128" s="379">
        <f t="shared" si="66"/>
        <v>35.333333333333336</v>
      </c>
      <c r="F128" s="379">
        <v>5</v>
      </c>
      <c r="G128" s="379">
        <v>46</v>
      </c>
      <c r="H128" s="379">
        <f t="shared" si="67"/>
        <v>5.1111111111111107</v>
      </c>
      <c r="I128" s="379">
        <v>3</v>
      </c>
      <c r="J128" s="379">
        <v>12</v>
      </c>
      <c r="K128" s="379">
        <f t="shared" si="68"/>
        <v>1</v>
      </c>
      <c r="L128" s="379">
        <f t="shared" si="69"/>
        <v>43</v>
      </c>
      <c r="M128" s="379">
        <f t="shared" si="70"/>
        <v>482</v>
      </c>
      <c r="N128" s="380">
        <f t="shared" si="71"/>
        <v>41.444444444444443</v>
      </c>
    </row>
    <row r="129" spans="1:14" x14ac:dyDescent="0.2">
      <c r="A129" s="378" t="s">
        <v>94</v>
      </c>
      <c r="B129" s="379" t="s">
        <v>29</v>
      </c>
      <c r="C129" s="379">
        <v>38</v>
      </c>
      <c r="D129" s="379">
        <v>429</v>
      </c>
      <c r="E129" s="379">
        <f t="shared" si="66"/>
        <v>35.75</v>
      </c>
      <c r="F129" s="379">
        <v>14</v>
      </c>
      <c r="G129" s="379">
        <v>113</v>
      </c>
      <c r="H129" s="379">
        <f t="shared" si="67"/>
        <v>12.555555555555555</v>
      </c>
      <c r="I129" s="379">
        <v>1</v>
      </c>
      <c r="J129" s="379">
        <v>3</v>
      </c>
      <c r="K129" s="379">
        <f t="shared" si="68"/>
        <v>0.25</v>
      </c>
      <c r="L129" s="379">
        <f t="shared" si="69"/>
        <v>53</v>
      </c>
      <c r="M129" s="379">
        <f t="shared" si="70"/>
        <v>545</v>
      </c>
      <c r="N129" s="380">
        <f t="shared" si="71"/>
        <v>48.555555555555557</v>
      </c>
    </row>
    <row r="130" spans="1:14" x14ac:dyDescent="0.2">
      <c r="A130" s="378" t="s">
        <v>62</v>
      </c>
      <c r="B130" s="379" t="s">
        <v>29</v>
      </c>
      <c r="C130" s="379">
        <v>35</v>
      </c>
      <c r="D130" s="379">
        <v>396</v>
      </c>
      <c r="E130" s="379">
        <f t="shared" si="66"/>
        <v>33</v>
      </c>
      <c r="F130" s="379">
        <v>16</v>
      </c>
      <c r="G130" s="379">
        <v>116</v>
      </c>
      <c r="H130" s="379">
        <f t="shared" si="67"/>
        <v>12.888888888888889</v>
      </c>
      <c r="I130" s="379">
        <v>1</v>
      </c>
      <c r="J130" s="379">
        <v>4</v>
      </c>
      <c r="K130" s="379">
        <f t="shared" si="68"/>
        <v>0.33333333333333331</v>
      </c>
      <c r="L130" s="379">
        <f t="shared" si="69"/>
        <v>52</v>
      </c>
      <c r="M130" s="379">
        <f t="shared" si="70"/>
        <v>516</v>
      </c>
      <c r="N130" s="380">
        <f t="shared" si="71"/>
        <v>46.222222222222221</v>
      </c>
    </row>
    <row r="131" spans="1:14" ht="13.5" thickBot="1" x14ac:dyDescent="0.25">
      <c r="A131" s="378" t="s">
        <v>58</v>
      </c>
      <c r="B131" s="379" t="s">
        <v>43</v>
      </c>
      <c r="C131" s="379">
        <v>49</v>
      </c>
      <c r="D131" s="379">
        <v>563</v>
      </c>
      <c r="E131" s="379">
        <f t="shared" si="66"/>
        <v>46.916666666666664</v>
      </c>
      <c r="F131" s="379">
        <v>10</v>
      </c>
      <c r="G131" s="379">
        <v>72</v>
      </c>
      <c r="H131" s="379">
        <f t="shared" si="67"/>
        <v>8</v>
      </c>
      <c r="I131" s="379">
        <v>5</v>
      </c>
      <c r="J131" s="379">
        <v>31</v>
      </c>
      <c r="K131" s="379">
        <f t="shared" si="68"/>
        <v>2.5833333333333335</v>
      </c>
      <c r="L131" s="379">
        <f t="shared" si="69"/>
        <v>64</v>
      </c>
      <c r="M131" s="379">
        <f t="shared" si="70"/>
        <v>666</v>
      </c>
      <c r="N131" s="380">
        <f t="shared" si="71"/>
        <v>57.5</v>
      </c>
    </row>
    <row r="132" spans="1:14" hidden="1" x14ac:dyDescent="0.2">
      <c r="A132" s="382" t="s">
        <v>47</v>
      </c>
      <c r="B132" s="379" t="s">
        <v>43</v>
      </c>
      <c r="C132" s="379">
        <v>87</v>
      </c>
      <c r="D132" s="379">
        <v>1042</v>
      </c>
      <c r="E132" s="379">
        <f t="shared" si="66"/>
        <v>86.833333333333329</v>
      </c>
      <c r="F132" s="379">
        <v>10</v>
      </c>
      <c r="G132" s="379">
        <v>87</v>
      </c>
      <c r="H132" s="379">
        <f t="shared" si="67"/>
        <v>9.6666666666666661</v>
      </c>
      <c r="I132" s="379">
        <v>4</v>
      </c>
      <c r="J132" s="379">
        <v>25</v>
      </c>
      <c r="K132" s="379">
        <f t="shared" si="68"/>
        <v>2.0833333333333335</v>
      </c>
      <c r="L132" s="379">
        <f t="shared" si="69"/>
        <v>101</v>
      </c>
      <c r="M132" s="379">
        <f t="shared" si="70"/>
        <v>1154</v>
      </c>
      <c r="N132" s="380">
        <f t="shared" si="71"/>
        <v>98.583333333333329</v>
      </c>
    </row>
    <row r="133" spans="1:14" hidden="1" x14ac:dyDescent="0.2">
      <c r="A133" s="382" t="s">
        <v>44</v>
      </c>
      <c r="B133" s="379" t="s">
        <v>29</v>
      </c>
      <c r="C133" s="379">
        <f>107-I133</f>
        <v>101</v>
      </c>
      <c r="D133" s="379">
        <f>1298-J133</f>
        <v>1265</v>
      </c>
      <c r="E133" s="379">
        <f t="shared" si="66"/>
        <v>105.41666666666667</v>
      </c>
      <c r="F133" s="379">
        <v>9</v>
      </c>
      <c r="G133" s="379">
        <v>60</v>
      </c>
      <c r="H133" s="379">
        <f t="shared" si="67"/>
        <v>6.666666666666667</v>
      </c>
      <c r="I133" s="379">
        <v>6</v>
      </c>
      <c r="J133" s="379">
        <v>33</v>
      </c>
      <c r="K133" s="379">
        <f t="shared" si="68"/>
        <v>2.75</v>
      </c>
      <c r="L133" s="379">
        <f t="shared" si="69"/>
        <v>116</v>
      </c>
      <c r="M133" s="379">
        <f t="shared" si="70"/>
        <v>1358</v>
      </c>
      <c r="N133" s="380">
        <f t="shared" si="71"/>
        <v>114.83333333333334</v>
      </c>
    </row>
    <row r="134" spans="1:14" hidden="1" x14ac:dyDescent="0.2">
      <c r="A134" s="378" t="s">
        <v>37</v>
      </c>
      <c r="B134" s="379" t="s">
        <v>29</v>
      </c>
      <c r="C134" s="379">
        <v>114</v>
      </c>
      <c r="D134" s="379">
        <v>1329</v>
      </c>
      <c r="E134" s="379">
        <f t="shared" si="66"/>
        <v>110.75</v>
      </c>
      <c r="F134" s="379">
        <v>13</v>
      </c>
      <c r="G134" s="379">
        <v>52</v>
      </c>
      <c r="H134" s="379">
        <f t="shared" si="67"/>
        <v>5.7777777777777777</v>
      </c>
      <c r="I134" s="379">
        <v>7</v>
      </c>
      <c r="J134" s="379">
        <v>59</v>
      </c>
      <c r="K134" s="379">
        <f t="shared" si="68"/>
        <v>4.916666666666667</v>
      </c>
      <c r="L134" s="379">
        <f t="shared" si="69"/>
        <v>134</v>
      </c>
      <c r="M134" s="379">
        <f t="shared" si="70"/>
        <v>1440</v>
      </c>
      <c r="N134" s="380">
        <f t="shared" si="71"/>
        <v>121.44444444444444</v>
      </c>
    </row>
    <row r="135" spans="1:14" hidden="1" x14ac:dyDescent="0.2">
      <c r="A135" s="382" t="s">
        <v>26</v>
      </c>
      <c r="B135" s="379" t="s">
        <v>43</v>
      </c>
      <c r="C135" s="379">
        <v>57</v>
      </c>
      <c r="D135" s="379">
        <v>706</v>
      </c>
      <c r="E135" s="379">
        <f>+D135/12</f>
        <v>58.833333333333336</v>
      </c>
      <c r="F135" s="379">
        <v>14</v>
      </c>
      <c r="G135" s="379">
        <v>81</v>
      </c>
      <c r="H135" s="379">
        <f>+G135/9</f>
        <v>9</v>
      </c>
      <c r="I135" s="379">
        <v>6</v>
      </c>
      <c r="J135" s="379">
        <v>39</v>
      </c>
      <c r="K135" s="379">
        <f>+J135/12</f>
        <v>3.25</v>
      </c>
      <c r="L135" s="379">
        <f t="shared" si="69"/>
        <v>77</v>
      </c>
      <c r="M135" s="379">
        <f t="shared" si="70"/>
        <v>826</v>
      </c>
      <c r="N135" s="380">
        <f t="shared" si="71"/>
        <v>71.083333333333343</v>
      </c>
    </row>
    <row r="136" spans="1:14" ht="13.5" hidden="1" thickBot="1" x14ac:dyDescent="0.25">
      <c r="A136" s="382" t="s">
        <v>28</v>
      </c>
      <c r="B136" s="379" t="s">
        <v>29</v>
      </c>
      <c r="C136" s="379">
        <v>63</v>
      </c>
      <c r="D136" s="379">
        <v>740</v>
      </c>
      <c r="E136" s="379">
        <f>D136/12</f>
        <v>61.666666666666664</v>
      </c>
      <c r="F136" s="379">
        <v>14</v>
      </c>
      <c r="G136" s="379">
        <v>109</v>
      </c>
      <c r="H136" s="379">
        <f>G136/9</f>
        <v>12.111111111111111</v>
      </c>
      <c r="I136" s="379">
        <v>3</v>
      </c>
      <c r="J136" s="379">
        <v>9</v>
      </c>
      <c r="K136" s="379">
        <f>J136/12</f>
        <v>0.75</v>
      </c>
      <c r="L136" s="379">
        <f t="shared" si="69"/>
        <v>80</v>
      </c>
      <c r="M136" s="379">
        <f t="shared" si="70"/>
        <v>858</v>
      </c>
      <c r="N136" s="380">
        <f t="shared" si="71"/>
        <v>74.527777777777771</v>
      </c>
    </row>
    <row r="137" spans="1:14" ht="13.5" hidden="1" thickBot="1" x14ac:dyDescent="0.25">
      <c r="A137" s="383" t="s">
        <v>49</v>
      </c>
      <c r="B137" s="379"/>
      <c r="C137" s="379"/>
      <c r="D137" s="379"/>
      <c r="E137" s="379"/>
      <c r="F137" s="379"/>
      <c r="G137" s="379"/>
      <c r="H137" s="379"/>
      <c r="I137" s="379"/>
      <c r="J137" s="379"/>
      <c r="K137" s="379"/>
      <c r="L137" s="379"/>
      <c r="M137" s="379"/>
      <c r="N137" s="380"/>
    </row>
    <row r="138" spans="1:14" hidden="1" x14ac:dyDescent="0.2">
      <c r="A138" s="399" t="s">
        <v>99</v>
      </c>
      <c r="B138" s="379" t="s">
        <v>29</v>
      </c>
      <c r="C138" s="29">
        <v>2</v>
      </c>
      <c r="D138" s="29">
        <v>7</v>
      </c>
      <c r="E138" s="379">
        <f>D138/12</f>
        <v>0.58333333333333337</v>
      </c>
      <c r="F138" s="29">
        <v>0</v>
      </c>
      <c r="G138" s="29">
        <v>0</v>
      </c>
      <c r="H138" s="379">
        <f>G138/9</f>
        <v>0</v>
      </c>
      <c r="I138" s="379">
        <v>0</v>
      </c>
      <c r="J138" s="379">
        <v>0</v>
      </c>
      <c r="K138" s="379">
        <f>J138/12</f>
        <v>0</v>
      </c>
      <c r="L138" s="379">
        <f>+C138+F138+I138</f>
        <v>2</v>
      </c>
      <c r="M138" s="379">
        <f>+D138+G138+J138</f>
        <v>7</v>
      </c>
      <c r="N138" s="380">
        <f>+E138+H138+K138</f>
        <v>0.58333333333333337</v>
      </c>
    </row>
    <row r="139" spans="1:14" hidden="1" x14ac:dyDescent="0.2">
      <c r="A139" s="382" t="s">
        <v>94</v>
      </c>
      <c r="B139" s="379"/>
      <c r="C139" s="379"/>
      <c r="D139" s="379"/>
      <c r="E139" s="379"/>
      <c r="F139" s="379"/>
      <c r="G139" s="379"/>
      <c r="H139" s="379"/>
      <c r="I139" s="379"/>
      <c r="J139" s="379"/>
      <c r="K139" s="379"/>
      <c r="L139" s="379"/>
      <c r="M139" s="379"/>
      <c r="N139" s="380"/>
    </row>
    <row r="140" spans="1:14" hidden="1" x14ac:dyDescent="0.2">
      <c r="A140" s="382" t="s">
        <v>62</v>
      </c>
      <c r="B140" s="379"/>
      <c r="C140" s="379"/>
      <c r="D140" s="379"/>
      <c r="E140" s="379"/>
      <c r="F140" s="379"/>
      <c r="G140" s="379"/>
      <c r="H140" s="379"/>
      <c r="I140" s="379"/>
      <c r="J140" s="379"/>
      <c r="K140" s="379"/>
      <c r="L140" s="379"/>
      <c r="M140" s="379"/>
      <c r="N140" s="380"/>
    </row>
    <row r="141" spans="1:14" ht="15" hidden="1" customHeight="1" x14ac:dyDescent="0.2">
      <c r="A141" s="382" t="s">
        <v>58</v>
      </c>
      <c r="B141" s="379"/>
      <c r="C141" s="379"/>
      <c r="D141" s="379"/>
      <c r="E141" s="379"/>
      <c r="F141" s="379"/>
      <c r="G141" s="379"/>
      <c r="H141" s="379"/>
      <c r="I141" s="379"/>
      <c r="J141" s="379"/>
      <c r="K141" s="379"/>
      <c r="L141" s="379"/>
      <c r="M141" s="379"/>
      <c r="N141" s="380"/>
    </row>
    <row r="142" spans="1:14" ht="15" hidden="1" customHeight="1" x14ac:dyDescent="0.2">
      <c r="A142" s="382" t="s">
        <v>47</v>
      </c>
      <c r="B142" s="379"/>
      <c r="C142" s="379"/>
      <c r="D142" s="379"/>
      <c r="E142" s="379"/>
      <c r="F142" s="379"/>
      <c r="G142" s="379"/>
      <c r="H142" s="379"/>
      <c r="I142" s="379"/>
      <c r="J142" s="379"/>
      <c r="K142" s="379"/>
      <c r="L142" s="379"/>
      <c r="M142" s="379"/>
      <c r="N142" s="380"/>
    </row>
    <row r="143" spans="1:14" ht="15" hidden="1" customHeight="1" x14ac:dyDescent="0.2">
      <c r="A143" s="382" t="s">
        <v>44</v>
      </c>
      <c r="B143" s="379" t="s">
        <v>29</v>
      </c>
      <c r="C143" s="379">
        <v>8</v>
      </c>
      <c r="D143" s="379">
        <v>31</v>
      </c>
      <c r="E143" s="379">
        <f>D143/12</f>
        <v>2.5833333333333335</v>
      </c>
      <c r="F143" s="379">
        <v>0</v>
      </c>
      <c r="G143" s="379">
        <v>0</v>
      </c>
      <c r="H143" s="379">
        <f>G143/9</f>
        <v>0</v>
      </c>
      <c r="I143" s="379">
        <v>1</v>
      </c>
      <c r="J143" s="379">
        <v>4</v>
      </c>
      <c r="K143" s="379">
        <f>J143/12</f>
        <v>0.33333333333333331</v>
      </c>
      <c r="L143" s="379">
        <f>+C143+F143+I143</f>
        <v>9</v>
      </c>
      <c r="M143" s="379">
        <f>+D143+G143+J143</f>
        <v>35</v>
      </c>
      <c r="N143" s="380">
        <f>+E143+H143+K143</f>
        <v>2.916666666666667</v>
      </c>
    </row>
    <row r="144" spans="1:14" ht="15" hidden="1" customHeight="1" thickBot="1" x14ac:dyDescent="0.25">
      <c r="A144" s="382"/>
      <c r="B144" s="379"/>
      <c r="C144" s="379"/>
      <c r="D144" s="379"/>
      <c r="E144" s="379"/>
      <c r="F144" s="379"/>
      <c r="G144" s="379"/>
      <c r="H144" s="379"/>
      <c r="I144" s="379"/>
      <c r="J144" s="379"/>
      <c r="K144" s="379"/>
      <c r="L144" s="379"/>
      <c r="M144" s="379"/>
      <c r="N144" s="380"/>
    </row>
    <row r="145" spans="1:14" ht="15" customHeight="1" thickBot="1" x14ac:dyDescent="0.25">
      <c r="A145" s="387" t="s">
        <v>644</v>
      </c>
      <c r="B145" s="373"/>
      <c r="C145" s="373"/>
      <c r="D145" s="373"/>
      <c r="E145" s="373"/>
      <c r="F145" s="373"/>
      <c r="G145" s="373"/>
      <c r="H145" s="373"/>
      <c r="I145" s="373"/>
      <c r="J145" s="373"/>
      <c r="K145" s="373"/>
      <c r="L145" s="373"/>
      <c r="M145" s="373"/>
      <c r="N145" s="374"/>
    </row>
    <row r="146" spans="1:14" x14ac:dyDescent="0.2">
      <c r="A146" s="378" t="s">
        <v>1434</v>
      </c>
      <c r="B146" s="379"/>
      <c r="C146" s="379">
        <v>29</v>
      </c>
      <c r="D146" s="379">
        <v>317</v>
      </c>
      <c r="E146" s="379">
        <v>26.416666666666668</v>
      </c>
      <c r="F146" s="379">
        <v>16</v>
      </c>
      <c r="G146" s="379">
        <v>130</v>
      </c>
      <c r="H146" s="379">
        <v>14.444444444444445</v>
      </c>
      <c r="I146" s="379">
        <v>14</v>
      </c>
      <c r="J146" s="379">
        <v>118</v>
      </c>
      <c r="K146" s="379">
        <v>9.8333333333333339</v>
      </c>
      <c r="L146" s="379">
        <v>59</v>
      </c>
      <c r="M146" s="379">
        <v>565</v>
      </c>
      <c r="N146" s="380">
        <v>50.69444444444445</v>
      </c>
    </row>
    <row r="147" spans="1:14" ht="15" customHeight="1" x14ac:dyDescent="0.2">
      <c r="A147" s="378" t="s">
        <v>356</v>
      </c>
      <c r="B147" s="379"/>
      <c r="C147" s="379">
        <v>23</v>
      </c>
      <c r="D147" s="379">
        <v>268</v>
      </c>
      <c r="E147" s="379">
        <f>D147/12</f>
        <v>22.333333333333332</v>
      </c>
      <c r="F147" s="379">
        <v>11</v>
      </c>
      <c r="G147" s="379">
        <v>100</v>
      </c>
      <c r="H147" s="379">
        <f>+G147/9</f>
        <v>11.111111111111111</v>
      </c>
      <c r="I147" s="379">
        <v>2</v>
      </c>
      <c r="J147" s="379">
        <v>13</v>
      </c>
      <c r="K147" s="379">
        <f>+J147/12</f>
        <v>1.0833333333333333</v>
      </c>
      <c r="L147" s="379">
        <f t="shared" ref="L147" si="72">+C147+F147+I147</f>
        <v>36</v>
      </c>
      <c r="M147" s="379">
        <f t="shared" ref="M147" si="73">+D147+G147+J147</f>
        <v>381</v>
      </c>
      <c r="N147" s="380">
        <f t="shared" ref="N147" si="74">+E147+H147+K147</f>
        <v>34.527777777777779</v>
      </c>
    </row>
    <row r="148" spans="1:14" ht="15" customHeight="1" x14ac:dyDescent="0.2">
      <c r="A148" s="378" t="s">
        <v>339</v>
      </c>
      <c r="B148" s="379"/>
      <c r="C148" s="379">
        <v>36</v>
      </c>
      <c r="D148" s="379">
        <v>452</v>
      </c>
      <c r="E148" s="379">
        <f>D148/12</f>
        <v>37.666666666666664</v>
      </c>
      <c r="F148" s="379">
        <v>6</v>
      </c>
      <c r="G148" s="379">
        <v>57</v>
      </c>
      <c r="H148" s="379">
        <f>+G148/9</f>
        <v>6.333333333333333</v>
      </c>
      <c r="I148" s="379">
        <v>3</v>
      </c>
      <c r="J148" s="379">
        <v>33</v>
      </c>
      <c r="K148" s="379">
        <f>+J148/12</f>
        <v>2.75</v>
      </c>
      <c r="L148" s="379">
        <f t="shared" ref="L148" si="75">+C148+F148+I148</f>
        <v>45</v>
      </c>
      <c r="M148" s="379">
        <f t="shared" ref="M148" si="76">+D148+G148+J148</f>
        <v>542</v>
      </c>
      <c r="N148" s="380">
        <f t="shared" ref="N148" si="77">+E148+H148+K148</f>
        <v>46.75</v>
      </c>
    </row>
    <row r="149" spans="1:14" ht="15" customHeight="1" x14ac:dyDescent="0.2">
      <c r="A149" s="378" t="s">
        <v>303</v>
      </c>
      <c r="B149" s="379"/>
      <c r="C149" s="379">
        <v>38</v>
      </c>
      <c r="D149" s="379">
        <v>461</v>
      </c>
      <c r="E149" s="379">
        <f>D149/12</f>
        <v>38.416666666666664</v>
      </c>
      <c r="F149" s="379">
        <v>10</v>
      </c>
      <c r="G149" s="379">
        <v>86</v>
      </c>
      <c r="H149" s="379">
        <f>+G149/9</f>
        <v>9.5555555555555554</v>
      </c>
      <c r="I149" s="379">
        <v>6</v>
      </c>
      <c r="J149" s="379">
        <v>56</v>
      </c>
      <c r="K149" s="379">
        <f>+J149/12</f>
        <v>4.666666666666667</v>
      </c>
      <c r="L149" s="379">
        <f t="shared" ref="L149" si="78">+C149+F149+I149</f>
        <v>54</v>
      </c>
      <c r="M149" s="379">
        <f t="shared" ref="M149" si="79">+D149+G149+J149</f>
        <v>603</v>
      </c>
      <c r="N149" s="380">
        <f t="shared" ref="N149" si="80">+E149+H149+K149</f>
        <v>52.638888888888886</v>
      </c>
    </row>
    <row r="150" spans="1:14" ht="15" customHeight="1" x14ac:dyDescent="0.2">
      <c r="A150" s="378" t="s">
        <v>292</v>
      </c>
      <c r="B150" s="379"/>
      <c r="C150" s="379">
        <v>46</v>
      </c>
      <c r="D150" s="379">
        <v>558</v>
      </c>
      <c r="E150" s="379">
        <f>D150/12</f>
        <v>46.5</v>
      </c>
      <c r="F150" s="379">
        <v>10</v>
      </c>
      <c r="G150" s="379">
        <v>74</v>
      </c>
      <c r="H150" s="379">
        <f>+G150/9</f>
        <v>8.2222222222222214</v>
      </c>
      <c r="I150" s="379">
        <v>0</v>
      </c>
      <c r="J150" s="379">
        <v>0</v>
      </c>
      <c r="K150" s="379">
        <f>+J150/12</f>
        <v>0</v>
      </c>
      <c r="L150" s="379">
        <f t="shared" ref="L150:N151" si="81">+C150+F150+I150</f>
        <v>56</v>
      </c>
      <c r="M150" s="379">
        <f t="shared" si="81"/>
        <v>632</v>
      </c>
      <c r="N150" s="380">
        <f t="shared" si="81"/>
        <v>54.722222222222221</v>
      </c>
    </row>
    <row r="151" spans="1:14" ht="15" customHeight="1" x14ac:dyDescent="0.2">
      <c r="A151" s="378" t="s">
        <v>275</v>
      </c>
      <c r="B151" s="379"/>
      <c r="C151" s="379">
        <v>43</v>
      </c>
      <c r="D151" s="379">
        <v>561</v>
      </c>
      <c r="E151" s="379">
        <f>D151/12</f>
        <v>46.75</v>
      </c>
      <c r="F151" s="379">
        <v>8</v>
      </c>
      <c r="G151" s="379">
        <v>60</v>
      </c>
      <c r="H151" s="379">
        <f>+G151/9</f>
        <v>6.666666666666667</v>
      </c>
      <c r="I151" s="379">
        <v>3</v>
      </c>
      <c r="J151" s="379">
        <v>30</v>
      </c>
      <c r="K151" s="379">
        <f>+J151/12</f>
        <v>2.5</v>
      </c>
      <c r="L151" s="379">
        <f t="shared" si="81"/>
        <v>54</v>
      </c>
      <c r="M151" s="379">
        <f t="shared" si="81"/>
        <v>651</v>
      </c>
      <c r="N151" s="380">
        <f t="shared" si="81"/>
        <v>55.916666666666664</v>
      </c>
    </row>
    <row r="152" spans="1:14" ht="15" customHeight="1" x14ac:dyDescent="0.2">
      <c r="A152" s="378" t="s">
        <v>210</v>
      </c>
      <c r="B152" s="379"/>
      <c r="C152" s="379">
        <v>48</v>
      </c>
      <c r="D152" s="379">
        <v>596</v>
      </c>
      <c r="E152" s="379">
        <f t="shared" ref="E152:E164" si="82">D152/12</f>
        <v>49.666666666666664</v>
      </c>
      <c r="F152" s="379">
        <v>13</v>
      </c>
      <c r="G152" s="379">
        <v>113</v>
      </c>
      <c r="H152" s="379">
        <f t="shared" ref="H152:H160" si="83">+G152/9</f>
        <v>12.555555555555555</v>
      </c>
      <c r="I152" s="379">
        <v>0</v>
      </c>
      <c r="J152" s="379">
        <v>0</v>
      </c>
      <c r="K152" s="379">
        <f t="shared" ref="K152:K164" si="84">J152/12</f>
        <v>0</v>
      </c>
      <c r="L152" s="379">
        <f t="shared" ref="L152:N153" si="85">+C152+F152+I152</f>
        <v>61</v>
      </c>
      <c r="M152" s="379">
        <f t="shared" si="85"/>
        <v>709</v>
      </c>
      <c r="N152" s="380">
        <f t="shared" si="85"/>
        <v>62.222222222222221</v>
      </c>
    </row>
    <row r="153" spans="1:14" ht="15" customHeight="1" x14ac:dyDescent="0.2">
      <c r="A153" s="378" t="s">
        <v>206</v>
      </c>
      <c r="B153" s="379"/>
      <c r="C153" s="379">
        <v>46</v>
      </c>
      <c r="D153" s="379">
        <v>587</v>
      </c>
      <c r="E153" s="379">
        <f t="shared" si="82"/>
        <v>48.916666666666664</v>
      </c>
      <c r="F153" s="379">
        <v>12</v>
      </c>
      <c r="G153" s="379">
        <v>97</v>
      </c>
      <c r="H153" s="379">
        <f t="shared" si="83"/>
        <v>10.777777777777779</v>
      </c>
      <c r="I153" s="379">
        <v>6</v>
      </c>
      <c r="J153" s="379">
        <v>82</v>
      </c>
      <c r="K153" s="379">
        <f t="shared" si="84"/>
        <v>6.833333333333333</v>
      </c>
      <c r="L153" s="379">
        <f t="shared" si="85"/>
        <v>64</v>
      </c>
      <c r="M153" s="379">
        <f t="shared" si="85"/>
        <v>766</v>
      </c>
      <c r="N153" s="380">
        <f t="shared" si="85"/>
        <v>66.527777777777771</v>
      </c>
    </row>
    <row r="154" spans="1:14" ht="15" customHeight="1" x14ac:dyDescent="0.2">
      <c r="A154" s="378" t="s">
        <v>186</v>
      </c>
      <c r="B154" s="379"/>
      <c r="C154" s="379">
        <v>38</v>
      </c>
      <c r="D154" s="379">
        <v>480</v>
      </c>
      <c r="E154" s="379">
        <f t="shared" si="82"/>
        <v>40</v>
      </c>
      <c r="F154" s="379">
        <v>4</v>
      </c>
      <c r="G154" s="379">
        <v>39</v>
      </c>
      <c r="H154" s="379">
        <f t="shared" si="83"/>
        <v>4.333333333333333</v>
      </c>
      <c r="I154" s="379">
        <v>6</v>
      </c>
      <c r="J154" s="379">
        <v>76</v>
      </c>
      <c r="K154" s="379">
        <f t="shared" si="84"/>
        <v>6.333333333333333</v>
      </c>
      <c r="L154" s="379">
        <f t="shared" ref="L154:N156" si="86">+C154+F154+I154</f>
        <v>48</v>
      </c>
      <c r="M154" s="379">
        <f t="shared" si="86"/>
        <v>595</v>
      </c>
      <c r="N154" s="380">
        <f t="shared" si="86"/>
        <v>50.666666666666671</v>
      </c>
    </row>
    <row r="155" spans="1:14" ht="15" customHeight="1" x14ac:dyDescent="0.2">
      <c r="A155" s="378" t="s">
        <v>166</v>
      </c>
      <c r="B155" s="379"/>
      <c r="C155" s="379">
        <v>35</v>
      </c>
      <c r="D155" s="379">
        <v>449</v>
      </c>
      <c r="E155" s="379">
        <f t="shared" si="82"/>
        <v>37.416666666666664</v>
      </c>
      <c r="F155" s="379">
        <v>6</v>
      </c>
      <c r="G155" s="379">
        <v>40</v>
      </c>
      <c r="H155" s="379">
        <f t="shared" si="83"/>
        <v>4.4444444444444446</v>
      </c>
      <c r="I155" s="379">
        <v>3</v>
      </c>
      <c r="J155" s="379">
        <v>27</v>
      </c>
      <c r="K155" s="379">
        <f t="shared" si="84"/>
        <v>2.25</v>
      </c>
      <c r="L155" s="379">
        <f t="shared" si="86"/>
        <v>44</v>
      </c>
      <c r="M155" s="379">
        <f t="shared" si="86"/>
        <v>516</v>
      </c>
      <c r="N155" s="380">
        <f t="shared" si="86"/>
        <v>44.111111111111107</v>
      </c>
    </row>
    <row r="156" spans="1:14" ht="15" customHeight="1" x14ac:dyDescent="0.2">
      <c r="A156" s="378" t="s">
        <v>154</v>
      </c>
      <c r="B156" s="379"/>
      <c r="C156" s="379">
        <v>34</v>
      </c>
      <c r="D156" s="379">
        <v>407</v>
      </c>
      <c r="E156" s="379">
        <f t="shared" si="82"/>
        <v>33.916666666666664</v>
      </c>
      <c r="F156" s="379">
        <v>8</v>
      </c>
      <c r="G156" s="379">
        <v>68</v>
      </c>
      <c r="H156" s="379">
        <f t="shared" si="83"/>
        <v>7.5555555555555554</v>
      </c>
      <c r="I156" s="379">
        <v>0</v>
      </c>
      <c r="J156" s="379">
        <v>0</v>
      </c>
      <c r="K156" s="379">
        <f t="shared" si="84"/>
        <v>0</v>
      </c>
      <c r="L156" s="379">
        <f t="shared" si="86"/>
        <v>42</v>
      </c>
      <c r="M156" s="379">
        <f t="shared" si="86"/>
        <v>475</v>
      </c>
      <c r="N156" s="380">
        <f t="shared" si="86"/>
        <v>41.472222222222221</v>
      </c>
    </row>
    <row r="157" spans="1:14" ht="15" customHeight="1" x14ac:dyDescent="0.2">
      <c r="A157" s="378" t="s">
        <v>120</v>
      </c>
      <c r="B157" s="379"/>
      <c r="C157" s="379">
        <v>20</v>
      </c>
      <c r="D157" s="379">
        <v>257</v>
      </c>
      <c r="E157" s="379">
        <f t="shared" si="82"/>
        <v>21.416666666666668</v>
      </c>
      <c r="F157" s="379">
        <v>9</v>
      </c>
      <c r="G157" s="379">
        <v>74</v>
      </c>
      <c r="H157" s="379">
        <f t="shared" si="83"/>
        <v>8.2222222222222214</v>
      </c>
      <c r="I157" s="379">
        <v>1</v>
      </c>
      <c r="J157" s="379">
        <v>6</v>
      </c>
      <c r="K157" s="379">
        <f t="shared" si="84"/>
        <v>0.5</v>
      </c>
      <c r="L157" s="379">
        <f t="shared" ref="L157:N158" si="87">+C157+F157+I157</f>
        <v>30</v>
      </c>
      <c r="M157" s="379">
        <f t="shared" si="87"/>
        <v>337</v>
      </c>
      <c r="N157" s="380">
        <f t="shared" si="87"/>
        <v>30.138888888888889</v>
      </c>
    </row>
    <row r="158" spans="1:14" x14ac:dyDescent="0.2">
      <c r="A158" s="378" t="s">
        <v>107</v>
      </c>
      <c r="B158" s="379" t="s">
        <v>29</v>
      </c>
      <c r="C158" s="379">
        <v>27</v>
      </c>
      <c r="D158" s="379">
        <v>313</v>
      </c>
      <c r="E158" s="379">
        <f t="shared" si="82"/>
        <v>26.083333333333332</v>
      </c>
      <c r="F158" s="379">
        <v>12</v>
      </c>
      <c r="G158" s="379">
        <v>39</v>
      </c>
      <c r="H158" s="379">
        <f t="shared" si="83"/>
        <v>4.333333333333333</v>
      </c>
      <c r="I158" s="379">
        <v>0</v>
      </c>
      <c r="J158" s="379">
        <v>0</v>
      </c>
      <c r="K158" s="379">
        <f t="shared" si="84"/>
        <v>0</v>
      </c>
      <c r="L158" s="379">
        <f t="shared" si="87"/>
        <v>39</v>
      </c>
      <c r="M158" s="379">
        <f t="shared" si="87"/>
        <v>352</v>
      </c>
      <c r="N158" s="380">
        <f t="shared" si="87"/>
        <v>30.416666666666664</v>
      </c>
    </row>
    <row r="159" spans="1:14" x14ac:dyDescent="0.2">
      <c r="A159" s="378" t="s">
        <v>101</v>
      </c>
      <c r="B159" s="379" t="s">
        <v>29</v>
      </c>
      <c r="C159" s="379">
        <v>26</v>
      </c>
      <c r="D159" s="379">
        <v>325</v>
      </c>
      <c r="E159" s="379">
        <f t="shared" si="82"/>
        <v>27.083333333333332</v>
      </c>
      <c r="F159" s="379">
        <v>6</v>
      </c>
      <c r="G159" s="379">
        <v>59</v>
      </c>
      <c r="H159" s="379">
        <f t="shared" si="83"/>
        <v>6.5555555555555554</v>
      </c>
      <c r="I159" s="379">
        <v>2</v>
      </c>
      <c r="J159" s="379">
        <v>19</v>
      </c>
      <c r="K159" s="379">
        <f t="shared" si="84"/>
        <v>1.5833333333333333</v>
      </c>
      <c r="L159" s="379">
        <f t="shared" ref="L159:N160" si="88">+C159+F159+I159</f>
        <v>34</v>
      </c>
      <c r="M159" s="379">
        <f t="shared" si="88"/>
        <v>403</v>
      </c>
      <c r="N159" s="380">
        <f t="shared" si="88"/>
        <v>35.222222222222221</v>
      </c>
    </row>
    <row r="160" spans="1:14" x14ac:dyDescent="0.2">
      <c r="A160" s="378" t="s">
        <v>102</v>
      </c>
      <c r="B160" s="379" t="s">
        <v>29</v>
      </c>
      <c r="C160" s="379">
        <v>27</v>
      </c>
      <c r="D160" s="379">
        <v>336</v>
      </c>
      <c r="E160" s="379">
        <f t="shared" si="82"/>
        <v>28</v>
      </c>
      <c r="F160" s="379">
        <v>3</v>
      </c>
      <c r="G160" s="379">
        <v>28</v>
      </c>
      <c r="H160" s="379">
        <f t="shared" si="83"/>
        <v>3.1111111111111112</v>
      </c>
      <c r="I160" s="379">
        <v>4</v>
      </c>
      <c r="J160" s="379">
        <v>21</v>
      </c>
      <c r="K160" s="379">
        <f t="shared" si="84"/>
        <v>1.75</v>
      </c>
      <c r="L160" s="379">
        <f t="shared" si="88"/>
        <v>34</v>
      </c>
      <c r="M160" s="379">
        <f t="shared" si="88"/>
        <v>385</v>
      </c>
      <c r="N160" s="380">
        <f t="shared" si="88"/>
        <v>32.861111111111114</v>
      </c>
    </row>
    <row r="161" spans="1:14" x14ac:dyDescent="0.2">
      <c r="A161" s="378" t="s">
        <v>80</v>
      </c>
      <c r="B161" s="379" t="s">
        <v>29</v>
      </c>
      <c r="C161" s="379">
        <v>32</v>
      </c>
      <c r="D161" s="379">
        <v>378</v>
      </c>
      <c r="E161" s="379">
        <f t="shared" si="82"/>
        <v>31.5</v>
      </c>
      <c r="F161" s="379">
        <v>12</v>
      </c>
      <c r="G161" s="379">
        <v>86</v>
      </c>
      <c r="H161" s="379">
        <f t="shared" ref="H161:H166" si="89">+G161/9</f>
        <v>9.5555555555555554</v>
      </c>
      <c r="I161" s="379">
        <v>5</v>
      </c>
      <c r="J161" s="379">
        <v>22</v>
      </c>
      <c r="K161" s="379">
        <f t="shared" si="84"/>
        <v>1.8333333333333333</v>
      </c>
      <c r="L161" s="379">
        <f t="shared" ref="L161:N162" si="90">+C161+F161+I161</f>
        <v>49</v>
      </c>
      <c r="M161" s="379">
        <f t="shared" si="90"/>
        <v>486</v>
      </c>
      <c r="N161" s="380">
        <f t="shared" si="90"/>
        <v>42.888888888888893</v>
      </c>
    </row>
    <row r="162" spans="1:14" x14ac:dyDescent="0.2">
      <c r="A162" s="378" t="s">
        <v>60</v>
      </c>
      <c r="B162" s="379" t="s">
        <v>29</v>
      </c>
      <c r="C162" s="379">
        <v>28</v>
      </c>
      <c r="D162" s="379">
        <v>299</v>
      </c>
      <c r="E162" s="379">
        <f t="shared" si="82"/>
        <v>24.916666666666668</v>
      </c>
      <c r="F162" s="379">
        <v>10</v>
      </c>
      <c r="G162" s="379">
        <v>61</v>
      </c>
      <c r="H162" s="379">
        <f t="shared" si="89"/>
        <v>6.7777777777777777</v>
      </c>
      <c r="I162" s="379">
        <v>4</v>
      </c>
      <c r="J162" s="379">
        <v>31</v>
      </c>
      <c r="K162" s="379">
        <f t="shared" si="84"/>
        <v>2.5833333333333335</v>
      </c>
      <c r="L162" s="379">
        <f t="shared" si="90"/>
        <v>42</v>
      </c>
      <c r="M162" s="379">
        <f t="shared" si="90"/>
        <v>391</v>
      </c>
      <c r="N162" s="380">
        <f t="shared" si="90"/>
        <v>34.277777777777779</v>
      </c>
    </row>
    <row r="163" spans="1:14" hidden="1" x14ac:dyDescent="0.2">
      <c r="A163" s="378" t="s">
        <v>50</v>
      </c>
      <c r="B163" s="379" t="s">
        <v>29</v>
      </c>
      <c r="C163" s="379">
        <v>82</v>
      </c>
      <c r="D163" s="379">
        <v>1007</v>
      </c>
      <c r="E163" s="379">
        <f t="shared" si="82"/>
        <v>83.916666666666671</v>
      </c>
      <c r="F163" s="379">
        <v>11</v>
      </c>
      <c r="G163" s="379">
        <v>78</v>
      </c>
      <c r="H163" s="379">
        <f t="shared" si="89"/>
        <v>8.6666666666666661</v>
      </c>
      <c r="I163" s="379">
        <v>3</v>
      </c>
      <c r="J163" s="379">
        <v>18</v>
      </c>
      <c r="K163" s="379">
        <f t="shared" si="84"/>
        <v>1.5</v>
      </c>
      <c r="L163" s="379">
        <f>+C163+F163+I163</f>
        <v>96</v>
      </c>
      <c r="M163" s="379">
        <f>+D163+G163+J163</f>
        <v>1103</v>
      </c>
      <c r="N163" s="380">
        <f t="shared" ref="L163:N164" si="91">+E163+H163+K163</f>
        <v>94.083333333333343</v>
      </c>
    </row>
    <row r="164" spans="1:14" hidden="1" x14ac:dyDescent="0.2">
      <c r="A164" s="378" t="s">
        <v>48</v>
      </c>
      <c r="B164" s="379" t="s">
        <v>29</v>
      </c>
      <c r="C164" s="379">
        <f>97-7</f>
        <v>90</v>
      </c>
      <c r="D164" s="379">
        <f>1145-19</f>
        <v>1126</v>
      </c>
      <c r="E164" s="379">
        <f t="shared" si="82"/>
        <v>93.833333333333329</v>
      </c>
      <c r="F164" s="379">
        <v>9</v>
      </c>
      <c r="G164" s="379">
        <v>58</v>
      </c>
      <c r="H164" s="379">
        <f t="shared" si="89"/>
        <v>6.4444444444444446</v>
      </c>
      <c r="I164" s="379">
        <v>7</v>
      </c>
      <c r="J164" s="379">
        <v>19</v>
      </c>
      <c r="K164" s="379">
        <f t="shared" si="84"/>
        <v>1.5833333333333333</v>
      </c>
      <c r="L164" s="379">
        <f t="shared" si="91"/>
        <v>106</v>
      </c>
      <c r="M164" s="379">
        <f t="shared" si="91"/>
        <v>1203</v>
      </c>
      <c r="N164" s="380">
        <f t="shared" si="91"/>
        <v>101.8611111111111</v>
      </c>
    </row>
    <row r="165" spans="1:14" hidden="1" x14ac:dyDescent="0.2">
      <c r="A165" s="378" t="s">
        <v>39</v>
      </c>
      <c r="B165" s="379" t="s">
        <v>29</v>
      </c>
      <c r="C165" s="379">
        <f>95-I165</f>
        <v>89</v>
      </c>
      <c r="D165" s="379">
        <f>1157-J165</f>
        <v>1113</v>
      </c>
      <c r="E165" s="379">
        <f>+D165/12</f>
        <v>92.75</v>
      </c>
      <c r="F165" s="379">
        <v>12</v>
      </c>
      <c r="G165" s="379">
        <v>74</v>
      </c>
      <c r="H165" s="379">
        <f t="shared" si="89"/>
        <v>8.2222222222222214</v>
      </c>
      <c r="I165" s="379">
        <v>6</v>
      </c>
      <c r="J165" s="379">
        <v>44</v>
      </c>
      <c r="K165" s="379">
        <f>+J165/12</f>
        <v>3.6666666666666665</v>
      </c>
      <c r="L165" s="379">
        <f t="shared" ref="L165:N166" si="92">+C165+F165+I165</f>
        <v>107</v>
      </c>
      <c r="M165" s="379">
        <f t="shared" si="92"/>
        <v>1231</v>
      </c>
      <c r="N165" s="380">
        <f t="shared" si="92"/>
        <v>104.6388888888889</v>
      </c>
    </row>
    <row r="166" spans="1:14" hidden="1" x14ac:dyDescent="0.2">
      <c r="A166" s="382" t="s">
        <v>31</v>
      </c>
      <c r="B166" s="379" t="s">
        <v>29</v>
      </c>
      <c r="C166" s="379">
        <v>130</v>
      </c>
      <c r="D166" s="379">
        <v>1308</v>
      </c>
      <c r="E166" s="379">
        <f>+D166/12</f>
        <v>109</v>
      </c>
      <c r="F166" s="379">
        <v>18</v>
      </c>
      <c r="G166" s="379">
        <v>101</v>
      </c>
      <c r="H166" s="379">
        <f t="shared" si="89"/>
        <v>11.222222222222221</v>
      </c>
      <c r="I166" s="379">
        <v>0</v>
      </c>
      <c r="J166" s="379">
        <v>0</v>
      </c>
      <c r="K166" s="379">
        <f>+J166/12</f>
        <v>0</v>
      </c>
      <c r="L166" s="379">
        <f t="shared" si="92"/>
        <v>148</v>
      </c>
      <c r="M166" s="379">
        <f t="shared" si="92"/>
        <v>1409</v>
      </c>
      <c r="N166" s="380">
        <f t="shared" si="92"/>
        <v>120.22222222222223</v>
      </c>
    </row>
    <row r="167" spans="1:14" hidden="1" x14ac:dyDescent="0.2">
      <c r="A167" s="382" t="s">
        <v>32</v>
      </c>
      <c r="B167" s="379" t="s">
        <v>29</v>
      </c>
      <c r="C167" s="379">
        <v>57</v>
      </c>
      <c r="D167" s="379">
        <v>592</v>
      </c>
      <c r="E167" s="379">
        <f>D167/12</f>
        <v>49.333333333333336</v>
      </c>
      <c r="F167" s="379">
        <v>20</v>
      </c>
      <c r="G167" s="379">
        <v>157</v>
      </c>
      <c r="H167" s="379">
        <f>G167/9</f>
        <v>17.444444444444443</v>
      </c>
      <c r="I167" s="379">
        <v>6</v>
      </c>
      <c r="J167" s="379">
        <v>59</v>
      </c>
      <c r="K167" s="379">
        <f>J167/12</f>
        <v>4.916666666666667</v>
      </c>
      <c r="L167" s="379">
        <f t="shared" ref="L167:N168" si="93">+C167+F167+I167</f>
        <v>83</v>
      </c>
      <c r="M167" s="379">
        <f t="shared" si="93"/>
        <v>808</v>
      </c>
      <c r="N167" s="380">
        <f t="shared" si="93"/>
        <v>71.694444444444443</v>
      </c>
    </row>
    <row r="168" spans="1:14" hidden="1" x14ac:dyDescent="0.2">
      <c r="A168" s="382" t="s">
        <v>33</v>
      </c>
      <c r="B168" s="379" t="s">
        <v>29</v>
      </c>
      <c r="C168" s="379">
        <v>50</v>
      </c>
      <c r="D168" s="379">
        <v>588</v>
      </c>
      <c r="E168" s="379">
        <f>D168/12</f>
        <v>49</v>
      </c>
      <c r="F168" s="379">
        <v>18</v>
      </c>
      <c r="G168" s="379">
        <v>168</v>
      </c>
      <c r="H168" s="379">
        <f>G168/9</f>
        <v>18.666666666666668</v>
      </c>
      <c r="I168" s="379">
        <v>3</v>
      </c>
      <c r="J168" s="379">
        <v>27</v>
      </c>
      <c r="K168" s="379">
        <f>J168/12</f>
        <v>2.25</v>
      </c>
      <c r="L168" s="379">
        <f t="shared" si="93"/>
        <v>71</v>
      </c>
      <c r="M168" s="379">
        <f t="shared" si="93"/>
        <v>783</v>
      </c>
      <c r="N168" s="380">
        <f t="shared" si="93"/>
        <v>69.916666666666671</v>
      </c>
    </row>
    <row r="169" spans="1:14" ht="13.5" thickBot="1" x14ac:dyDescent="0.25">
      <c r="A169" s="382"/>
      <c r="B169" s="379"/>
      <c r="C169" s="379"/>
      <c r="D169" s="379"/>
      <c r="E169" s="379"/>
      <c r="F169" s="379"/>
      <c r="G169" s="379"/>
      <c r="H169" s="379"/>
      <c r="I169" s="379"/>
      <c r="J169" s="379"/>
      <c r="K169" s="379"/>
      <c r="L169" s="379"/>
      <c r="M169" s="379"/>
      <c r="N169" s="380"/>
    </row>
    <row r="170" spans="1:14" ht="13.5" thickBot="1" x14ac:dyDescent="0.25">
      <c r="A170" s="387" t="s">
        <v>645</v>
      </c>
      <c r="B170" s="373"/>
      <c r="C170" s="373"/>
      <c r="D170" s="373"/>
      <c r="E170" s="373"/>
      <c r="F170" s="373"/>
      <c r="G170" s="373"/>
      <c r="H170" s="373"/>
      <c r="I170" s="373"/>
      <c r="J170" s="373"/>
      <c r="K170" s="373"/>
      <c r="L170" s="373"/>
      <c r="M170" s="373"/>
      <c r="N170" s="374"/>
    </row>
    <row r="171" spans="1:14" x14ac:dyDescent="0.2">
      <c r="A171" s="382" t="s">
        <v>1433</v>
      </c>
      <c r="B171" s="379"/>
      <c r="C171" s="379">
        <v>9</v>
      </c>
      <c r="D171" s="379">
        <v>59</v>
      </c>
      <c r="E171" s="379">
        <f t="shared" ref="E171:E176" si="94">D171/12</f>
        <v>4.916666666666667</v>
      </c>
      <c r="F171" s="379">
        <v>1</v>
      </c>
      <c r="G171" s="379">
        <v>2</v>
      </c>
      <c r="H171" s="379">
        <f t="shared" ref="H171:H176" si="95">G171/9</f>
        <v>0.22222222222222221</v>
      </c>
      <c r="I171" s="379">
        <v>4</v>
      </c>
      <c r="J171" s="379">
        <v>14</v>
      </c>
      <c r="K171" s="379">
        <f t="shared" ref="K171:K176" si="96">J171/12</f>
        <v>1.1666666666666667</v>
      </c>
      <c r="L171" s="379">
        <f t="shared" ref="L171" si="97">+C171+F171+I171</f>
        <v>14</v>
      </c>
      <c r="M171" s="379">
        <f t="shared" ref="M171" si="98">+D171+G171+J171</f>
        <v>75</v>
      </c>
      <c r="N171" s="380">
        <f t="shared" ref="N171" si="99">+E171+H171+K171</f>
        <v>6.3055555555555562</v>
      </c>
    </row>
    <row r="172" spans="1:14" x14ac:dyDescent="0.2">
      <c r="A172" s="382" t="s">
        <v>642</v>
      </c>
      <c r="B172" s="379"/>
      <c r="C172" s="379">
        <v>6</v>
      </c>
      <c r="D172" s="379">
        <v>28</v>
      </c>
      <c r="E172" s="379">
        <f t="shared" si="94"/>
        <v>2.3333333333333335</v>
      </c>
      <c r="F172" s="379">
        <v>0</v>
      </c>
      <c r="G172" s="379">
        <v>0</v>
      </c>
      <c r="H172" s="379">
        <f t="shared" si="95"/>
        <v>0</v>
      </c>
      <c r="I172" s="379">
        <v>2</v>
      </c>
      <c r="J172" s="379">
        <v>7</v>
      </c>
      <c r="K172" s="379">
        <f t="shared" si="96"/>
        <v>0.58333333333333337</v>
      </c>
      <c r="L172" s="379">
        <f t="shared" ref="L172" si="100">+C172+F172+I172</f>
        <v>8</v>
      </c>
      <c r="M172" s="379">
        <f t="shared" ref="M172" si="101">+D172+G172+J172</f>
        <v>35</v>
      </c>
      <c r="N172" s="380">
        <f t="shared" ref="N172" si="102">+E172+H172+K172</f>
        <v>2.916666666666667</v>
      </c>
    </row>
    <row r="173" spans="1:14" x14ac:dyDescent="0.2">
      <c r="A173" s="382" t="s">
        <v>349</v>
      </c>
      <c r="C173" s="379">
        <v>12</v>
      </c>
      <c r="D173" s="379">
        <v>64</v>
      </c>
      <c r="E173" s="379">
        <f t="shared" si="94"/>
        <v>5.333333333333333</v>
      </c>
      <c r="F173" s="379">
        <v>1</v>
      </c>
      <c r="G173" s="379">
        <v>6</v>
      </c>
      <c r="H173" s="379">
        <f t="shared" si="95"/>
        <v>0.66666666666666663</v>
      </c>
      <c r="I173" s="379">
        <v>0</v>
      </c>
      <c r="J173" s="379">
        <v>0</v>
      </c>
      <c r="K173" s="379">
        <f t="shared" si="96"/>
        <v>0</v>
      </c>
      <c r="L173" s="379">
        <f t="shared" ref="L173" si="103">+C173+F173+I173</f>
        <v>13</v>
      </c>
      <c r="M173" s="379">
        <f t="shared" ref="M173" si="104">+D173+G173+J173</f>
        <v>70</v>
      </c>
      <c r="N173" s="380">
        <f t="shared" ref="N173" si="105">+E173+H173+K173</f>
        <v>6</v>
      </c>
    </row>
    <row r="174" spans="1:14" x14ac:dyDescent="0.2">
      <c r="A174" s="382" t="s">
        <v>323</v>
      </c>
      <c r="C174" s="379">
        <v>12</v>
      </c>
      <c r="D174" s="379">
        <v>61</v>
      </c>
      <c r="E174" s="379">
        <f t="shared" si="94"/>
        <v>5.083333333333333</v>
      </c>
      <c r="F174" s="379">
        <v>1</v>
      </c>
      <c r="G174" s="379">
        <v>1</v>
      </c>
      <c r="H174" s="379">
        <f t="shared" si="95"/>
        <v>0.1111111111111111</v>
      </c>
      <c r="I174" s="379">
        <v>0</v>
      </c>
      <c r="J174" s="379">
        <v>0</v>
      </c>
      <c r="K174" s="379">
        <f t="shared" si="96"/>
        <v>0</v>
      </c>
      <c r="L174" s="379">
        <f t="shared" ref="L174" si="106">+C174+F174+I174</f>
        <v>13</v>
      </c>
      <c r="M174" s="379">
        <f t="shared" ref="M174" si="107">+D174+G174+J174</f>
        <v>62</v>
      </c>
      <c r="N174" s="380">
        <f t="shared" ref="N174" si="108">+E174+H174+K174</f>
        <v>5.1944444444444438</v>
      </c>
    </row>
    <row r="175" spans="1:14" x14ac:dyDescent="0.2">
      <c r="A175" s="382" t="s">
        <v>299</v>
      </c>
      <c r="C175" s="379">
        <v>20</v>
      </c>
      <c r="D175" s="379">
        <v>86</v>
      </c>
      <c r="E175" s="379">
        <f t="shared" si="94"/>
        <v>7.166666666666667</v>
      </c>
      <c r="F175" s="379">
        <v>3</v>
      </c>
      <c r="G175" s="379">
        <v>21</v>
      </c>
      <c r="H175" s="379">
        <f t="shared" si="95"/>
        <v>2.3333333333333335</v>
      </c>
      <c r="I175" s="379">
        <v>1</v>
      </c>
      <c r="J175" s="379">
        <v>3</v>
      </c>
      <c r="K175" s="379">
        <f t="shared" si="96"/>
        <v>0.25</v>
      </c>
      <c r="L175" s="379">
        <f t="shared" ref="L175:N178" si="109">+C175+F175+I175</f>
        <v>24</v>
      </c>
      <c r="M175" s="379">
        <f t="shared" si="109"/>
        <v>110</v>
      </c>
      <c r="N175" s="380">
        <f t="shared" si="109"/>
        <v>9.75</v>
      </c>
    </row>
    <row r="176" spans="1:14" x14ac:dyDescent="0.2">
      <c r="A176" s="378" t="s">
        <v>298</v>
      </c>
      <c r="B176" s="379"/>
      <c r="C176" s="379">
        <v>13</v>
      </c>
      <c r="D176" s="379">
        <v>88</v>
      </c>
      <c r="E176" s="379">
        <f t="shared" si="94"/>
        <v>7.333333333333333</v>
      </c>
      <c r="F176" s="379">
        <v>0</v>
      </c>
      <c r="G176" s="379">
        <v>0</v>
      </c>
      <c r="H176" s="379">
        <f t="shared" si="95"/>
        <v>0</v>
      </c>
      <c r="I176" s="379">
        <v>3</v>
      </c>
      <c r="J176" s="379">
        <v>10</v>
      </c>
      <c r="K176" s="379">
        <f t="shared" si="96"/>
        <v>0.83333333333333337</v>
      </c>
      <c r="L176" s="379">
        <f t="shared" si="109"/>
        <v>16</v>
      </c>
      <c r="M176" s="379">
        <f t="shared" si="109"/>
        <v>98</v>
      </c>
      <c r="N176" s="380">
        <f t="shared" si="109"/>
        <v>8.1666666666666661</v>
      </c>
    </row>
    <row r="177" spans="1:14" x14ac:dyDescent="0.2">
      <c r="A177" s="378" t="s">
        <v>212</v>
      </c>
      <c r="B177" s="379"/>
      <c r="C177" s="379">
        <v>17</v>
      </c>
      <c r="D177" s="379">
        <v>106</v>
      </c>
      <c r="E177" s="379">
        <f t="shared" ref="E177:E189" si="110">D177/12</f>
        <v>8.8333333333333339</v>
      </c>
      <c r="F177" s="379">
        <v>1</v>
      </c>
      <c r="G177" s="379">
        <v>6</v>
      </c>
      <c r="H177" s="379">
        <f t="shared" ref="H177:H184" si="111">G177/9</f>
        <v>0.66666666666666663</v>
      </c>
      <c r="I177" s="379">
        <v>1</v>
      </c>
      <c r="J177" s="379">
        <v>3</v>
      </c>
      <c r="K177" s="379">
        <f t="shared" ref="K177:K184" si="112">J177/12</f>
        <v>0.25</v>
      </c>
      <c r="L177" s="379">
        <f t="shared" si="109"/>
        <v>19</v>
      </c>
      <c r="M177" s="379">
        <f t="shared" si="109"/>
        <v>115</v>
      </c>
      <c r="N177" s="380">
        <f t="shared" si="109"/>
        <v>9.75</v>
      </c>
    </row>
    <row r="178" spans="1:14" x14ac:dyDescent="0.2">
      <c r="A178" s="378" t="s">
        <v>207</v>
      </c>
      <c r="B178" s="379"/>
      <c r="C178" s="379">
        <v>15</v>
      </c>
      <c r="D178" s="379">
        <v>113</v>
      </c>
      <c r="E178" s="379">
        <f t="shared" si="110"/>
        <v>9.4166666666666661</v>
      </c>
      <c r="F178" s="379">
        <v>2</v>
      </c>
      <c r="G178" s="379">
        <v>9</v>
      </c>
      <c r="H178" s="379">
        <f t="shared" si="111"/>
        <v>1</v>
      </c>
      <c r="I178" s="379">
        <v>0</v>
      </c>
      <c r="J178" s="379">
        <v>0</v>
      </c>
      <c r="K178" s="379">
        <f t="shared" si="112"/>
        <v>0</v>
      </c>
      <c r="L178" s="379">
        <f t="shared" si="109"/>
        <v>17</v>
      </c>
      <c r="M178" s="379">
        <f t="shared" si="109"/>
        <v>122</v>
      </c>
      <c r="N178" s="380">
        <f t="shared" si="109"/>
        <v>10.416666666666666</v>
      </c>
    </row>
    <row r="179" spans="1:14" x14ac:dyDescent="0.2">
      <c r="A179" s="382" t="s">
        <v>204</v>
      </c>
      <c r="B179" s="379"/>
      <c r="C179" s="379">
        <v>13</v>
      </c>
      <c r="D179" s="379">
        <v>73</v>
      </c>
      <c r="E179" s="379">
        <f t="shared" si="110"/>
        <v>6.083333333333333</v>
      </c>
      <c r="F179" s="379">
        <v>0</v>
      </c>
      <c r="G179" s="379">
        <v>0</v>
      </c>
      <c r="H179" s="379">
        <f t="shared" si="111"/>
        <v>0</v>
      </c>
      <c r="I179" s="379">
        <v>0</v>
      </c>
      <c r="J179" s="379">
        <v>0</v>
      </c>
      <c r="K179" s="379">
        <f t="shared" si="112"/>
        <v>0</v>
      </c>
      <c r="L179" s="379">
        <f t="shared" ref="L179:N180" si="113">+C179+F179+I179</f>
        <v>13</v>
      </c>
      <c r="M179" s="379">
        <f t="shared" si="113"/>
        <v>73</v>
      </c>
      <c r="N179" s="380">
        <f t="shared" si="113"/>
        <v>6.083333333333333</v>
      </c>
    </row>
    <row r="180" spans="1:14" x14ac:dyDescent="0.2">
      <c r="A180" s="382" t="s">
        <v>185</v>
      </c>
      <c r="B180" s="379"/>
      <c r="C180" s="379">
        <v>17</v>
      </c>
      <c r="D180" s="379">
        <v>81</v>
      </c>
      <c r="E180" s="379">
        <f t="shared" si="110"/>
        <v>6.75</v>
      </c>
      <c r="F180" s="379">
        <v>1</v>
      </c>
      <c r="G180" s="379">
        <v>3</v>
      </c>
      <c r="H180" s="379">
        <f t="shared" si="111"/>
        <v>0.33333333333333331</v>
      </c>
      <c r="I180" s="379">
        <v>1</v>
      </c>
      <c r="J180" s="379">
        <v>3</v>
      </c>
      <c r="K180" s="379">
        <f t="shared" si="112"/>
        <v>0.25</v>
      </c>
      <c r="L180" s="379">
        <f t="shared" si="113"/>
        <v>19</v>
      </c>
      <c r="M180" s="379">
        <f t="shared" si="113"/>
        <v>87</v>
      </c>
      <c r="N180" s="380">
        <f t="shared" si="113"/>
        <v>7.333333333333333</v>
      </c>
    </row>
    <row r="181" spans="1:14" x14ac:dyDescent="0.2">
      <c r="A181" s="382" t="s">
        <v>162</v>
      </c>
      <c r="B181" s="379"/>
      <c r="C181" s="379">
        <v>14</v>
      </c>
      <c r="D181" s="379">
        <v>87</v>
      </c>
      <c r="E181" s="379">
        <f t="shared" si="110"/>
        <v>7.25</v>
      </c>
      <c r="F181" s="379">
        <v>1</v>
      </c>
      <c r="G181" s="379">
        <v>6</v>
      </c>
      <c r="H181" s="379">
        <f t="shared" si="111"/>
        <v>0.66666666666666663</v>
      </c>
      <c r="I181" s="379">
        <v>0</v>
      </c>
      <c r="J181" s="379">
        <v>0</v>
      </c>
      <c r="K181" s="379">
        <f t="shared" si="112"/>
        <v>0</v>
      </c>
      <c r="L181" s="379">
        <f t="shared" ref="L181:N182" si="114">+C181+F181+I181</f>
        <v>15</v>
      </c>
      <c r="M181" s="379">
        <f t="shared" si="114"/>
        <v>93</v>
      </c>
      <c r="N181" s="380">
        <f t="shared" si="114"/>
        <v>7.916666666666667</v>
      </c>
    </row>
    <row r="182" spans="1:14" x14ac:dyDescent="0.2">
      <c r="A182" s="382" t="s">
        <v>126</v>
      </c>
      <c r="B182" s="379"/>
      <c r="C182" s="379">
        <v>9</v>
      </c>
      <c r="D182" s="379">
        <v>64</v>
      </c>
      <c r="E182" s="379">
        <f t="shared" si="110"/>
        <v>5.333333333333333</v>
      </c>
      <c r="F182" s="379">
        <v>2</v>
      </c>
      <c r="G182" s="379">
        <v>6</v>
      </c>
      <c r="H182" s="379">
        <f t="shared" si="111"/>
        <v>0.66666666666666663</v>
      </c>
      <c r="I182" s="379">
        <v>2</v>
      </c>
      <c r="J182" s="379">
        <v>6</v>
      </c>
      <c r="K182" s="379">
        <f t="shared" si="112"/>
        <v>0.5</v>
      </c>
      <c r="L182" s="379">
        <f t="shared" si="114"/>
        <v>13</v>
      </c>
      <c r="M182" s="379">
        <f t="shared" si="114"/>
        <v>76</v>
      </c>
      <c r="N182" s="380">
        <f t="shared" si="114"/>
        <v>6.5</v>
      </c>
    </row>
    <row r="183" spans="1:14" s="86" customFormat="1" x14ac:dyDescent="0.2">
      <c r="A183" s="382" t="s">
        <v>114</v>
      </c>
      <c r="B183" s="379" t="s">
        <v>29</v>
      </c>
      <c r="C183" s="379">
        <v>3</v>
      </c>
      <c r="D183" s="379">
        <v>21</v>
      </c>
      <c r="E183" s="379">
        <f t="shared" si="110"/>
        <v>1.75</v>
      </c>
      <c r="F183" s="379">
        <v>0</v>
      </c>
      <c r="G183" s="379">
        <v>0</v>
      </c>
      <c r="H183" s="379">
        <f t="shared" si="111"/>
        <v>0</v>
      </c>
      <c r="I183" s="379">
        <v>1</v>
      </c>
      <c r="J183" s="379">
        <v>3</v>
      </c>
      <c r="K183" s="379">
        <f t="shared" si="112"/>
        <v>0.25</v>
      </c>
      <c r="L183" s="379">
        <f t="shared" ref="L183:N185" si="115">+C183+F183+I183</f>
        <v>4</v>
      </c>
      <c r="M183" s="379">
        <f t="shared" si="115"/>
        <v>24</v>
      </c>
      <c r="N183" s="380">
        <f t="shared" si="115"/>
        <v>2</v>
      </c>
    </row>
    <row r="184" spans="1:14" x14ac:dyDescent="0.2">
      <c r="A184" s="382" t="s">
        <v>105</v>
      </c>
      <c r="B184" s="379" t="s">
        <v>29</v>
      </c>
      <c r="C184" s="379">
        <v>6</v>
      </c>
      <c r="D184" s="379">
        <v>30</v>
      </c>
      <c r="E184" s="379">
        <f t="shared" si="110"/>
        <v>2.5</v>
      </c>
      <c r="F184" s="379">
        <v>2</v>
      </c>
      <c r="G184" s="379">
        <v>12</v>
      </c>
      <c r="H184" s="379">
        <f t="shared" si="111"/>
        <v>1.3333333333333333</v>
      </c>
      <c r="I184" s="379">
        <v>0</v>
      </c>
      <c r="J184" s="379">
        <v>0</v>
      </c>
      <c r="K184" s="379">
        <f t="shared" si="112"/>
        <v>0</v>
      </c>
      <c r="L184" s="379">
        <f>+C184+F184+I184</f>
        <v>8</v>
      </c>
      <c r="M184" s="379">
        <f>+D184+G184+J184</f>
        <v>42</v>
      </c>
      <c r="N184" s="380">
        <f>+E184+H184+K184</f>
        <v>3.833333333333333</v>
      </c>
    </row>
    <row r="185" spans="1:14" x14ac:dyDescent="0.2">
      <c r="A185" s="382" t="s">
        <v>100</v>
      </c>
      <c r="B185" s="379" t="s">
        <v>29</v>
      </c>
      <c r="C185" s="379">
        <v>6</v>
      </c>
      <c r="D185" s="379">
        <v>26</v>
      </c>
      <c r="E185" s="379">
        <f t="shared" si="110"/>
        <v>2.1666666666666665</v>
      </c>
      <c r="F185" s="379"/>
      <c r="G185" s="379"/>
      <c r="H185" s="379"/>
      <c r="I185" s="379"/>
      <c r="J185" s="379"/>
      <c r="K185" s="379"/>
      <c r="L185" s="379">
        <f t="shared" si="115"/>
        <v>6</v>
      </c>
      <c r="M185" s="379">
        <f t="shared" si="115"/>
        <v>26</v>
      </c>
      <c r="N185" s="380">
        <f t="shared" si="115"/>
        <v>2.1666666666666665</v>
      </c>
    </row>
    <row r="186" spans="1:14" x14ac:dyDescent="0.2">
      <c r="A186" s="382" t="s">
        <v>95</v>
      </c>
      <c r="B186" s="379" t="s">
        <v>29</v>
      </c>
      <c r="C186" s="379">
        <v>9</v>
      </c>
      <c r="D186" s="379">
        <v>51</v>
      </c>
      <c r="E186" s="379">
        <f t="shared" si="110"/>
        <v>4.25</v>
      </c>
      <c r="F186" s="379">
        <v>2</v>
      </c>
      <c r="G186" s="379">
        <v>6</v>
      </c>
      <c r="H186" s="379">
        <f>G186/9</f>
        <v>0.66666666666666663</v>
      </c>
      <c r="I186" s="379">
        <v>6</v>
      </c>
      <c r="J186" s="379">
        <v>19</v>
      </c>
      <c r="K186" s="379">
        <f>J186/12</f>
        <v>1.5833333333333333</v>
      </c>
      <c r="L186" s="379">
        <f t="shared" ref="L186:N187" si="116">+C186+F186+I186</f>
        <v>17</v>
      </c>
      <c r="M186" s="379">
        <f t="shared" si="116"/>
        <v>76</v>
      </c>
      <c r="N186" s="380">
        <f t="shared" si="116"/>
        <v>6.5</v>
      </c>
    </row>
    <row r="187" spans="1:14" x14ac:dyDescent="0.2">
      <c r="A187" s="382" t="s">
        <v>61</v>
      </c>
      <c r="B187" s="379" t="s">
        <v>29</v>
      </c>
      <c r="C187" s="379">
        <v>7</v>
      </c>
      <c r="D187" s="379">
        <v>31</v>
      </c>
      <c r="E187" s="379">
        <f t="shared" si="110"/>
        <v>2.5833333333333335</v>
      </c>
      <c r="F187" s="379">
        <v>1</v>
      </c>
      <c r="G187" s="379">
        <v>9</v>
      </c>
      <c r="H187" s="379">
        <f>G187/9</f>
        <v>1</v>
      </c>
      <c r="I187" s="379">
        <v>1</v>
      </c>
      <c r="J187" s="379">
        <v>3</v>
      </c>
      <c r="K187" s="379">
        <f>J187/12</f>
        <v>0.25</v>
      </c>
      <c r="L187" s="379">
        <f t="shared" si="116"/>
        <v>9</v>
      </c>
      <c r="M187" s="379">
        <f t="shared" si="116"/>
        <v>43</v>
      </c>
      <c r="N187" s="380">
        <f t="shared" si="116"/>
        <v>3.8333333333333335</v>
      </c>
    </row>
    <row r="188" spans="1:14" hidden="1" x14ac:dyDescent="0.2">
      <c r="A188" s="379" t="s">
        <v>56</v>
      </c>
      <c r="B188" s="379" t="s">
        <v>57</v>
      </c>
      <c r="C188" s="379">
        <v>33</v>
      </c>
      <c r="D188" s="379">
        <v>187</v>
      </c>
      <c r="E188" s="379">
        <f t="shared" si="110"/>
        <v>15.583333333333334</v>
      </c>
      <c r="F188" s="379">
        <v>0</v>
      </c>
      <c r="G188" s="379">
        <v>0</v>
      </c>
      <c r="H188" s="379">
        <f>G188/9</f>
        <v>0</v>
      </c>
      <c r="I188" s="379">
        <v>4</v>
      </c>
      <c r="J188" s="379">
        <v>20</v>
      </c>
      <c r="K188" s="379">
        <f>J188/12</f>
        <v>1.6666666666666667</v>
      </c>
      <c r="L188" s="379">
        <f t="shared" ref="L188:N189" si="117">+C188+F188+I188</f>
        <v>37</v>
      </c>
      <c r="M188" s="379">
        <f t="shared" si="117"/>
        <v>207</v>
      </c>
      <c r="N188" s="380">
        <f t="shared" si="117"/>
        <v>17.25</v>
      </c>
    </row>
    <row r="189" spans="1:14" hidden="1" x14ac:dyDescent="0.2">
      <c r="A189" s="379" t="s">
        <v>51</v>
      </c>
      <c r="B189" s="379" t="s">
        <v>29</v>
      </c>
      <c r="C189" s="379">
        <v>14</v>
      </c>
      <c r="D189" s="379">
        <v>88</v>
      </c>
      <c r="E189" s="379">
        <f t="shared" si="110"/>
        <v>7.333333333333333</v>
      </c>
      <c r="F189" s="379">
        <v>9</v>
      </c>
      <c r="G189" s="379">
        <v>29</v>
      </c>
      <c r="H189" s="379">
        <f>G189/9</f>
        <v>3.2222222222222223</v>
      </c>
      <c r="I189" s="379">
        <v>3</v>
      </c>
      <c r="J189" s="379">
        <v>6</v>
      </c>
      <c r="K189" s="379">
        <f>J189/12</f>
        <v>0.5</v>
      </c>
      <c r="L189" s="379">
        <f t="shared" si="117"/>
        <v>26</v>
      </c>
      <c r="M189" s="379">
        <f t="shared" si="117"/>
        <v>123</v>
      </c>
      <c r="N189" s="380">
        <f t="shared" si="117"/>
        <v>11.055555555555555</v>
      </c>
    </row>
    <row r="190" spans="1:14" hidden="1" x14ac:dyDescent="0.2">
      <c r="A190" s="382" t="s">
        <v>52</v>
      </c>
      <c r="B190" s="379" t="s">
        <v>103</v>
      </c>
      <c r="C190" s="400"/>
      <c r="D190" s="400"/>
      <c r="E190" s="400"/>
      <c r="F190" s="400"/>
      <c r="G190" s="400"/>
      <c r="H190" s="400"/>
      <c r="I190" s="400"/>
      <c r="J190" s="400"/>
      <c r="K190" s="400"/>
      <c r="L190" s="379">
        <f t="shared" ref="L190:N191" si="118">+C190+F190+I190</f>
        <v>0</v>
      </c>
      <c r="M190" s="379">
        <f t="shared" si="118"/>
        <v>0</v>
      </c>
      <c r="N190" s="380">
        <f t="shared" si="118"/>
        <v>0</v>
      </c>
    </row>
    <row r="191" spans="1:14" hidden="1" x14ac:dyDescent="0.2">
      <c r="A191" s="382" t="s">
        <v>53</v>
      </c>
      <c r="B191" s="379" t="s">
        <v>29</v>
      </c>
      <c r="C191" s="379">
        <v>48</v>
      </c>
      <c r="D191" s="379">
        <v>275</v>
      </c>
      <c r="E191" s="379">
        <f>D191/12</f>
        <v>22.916666666666668</v>
      </c>
      <c r="F191" s="379">
        <v>6</v>
      </c>
      <c r="G191" s="379">
        <v>24</v>
      </c>
      <c r="H191" s="379">
        <f>G191/9</f>
        <v>2.6666666666666665</v>
      </c>
      <c r="I191" s="379">
        <v>4</v>
      </c>
      <c r="J191" s="379">
        <v>19</v>
      </c>
      <c r="K191" s="379">
        <f>J191/12</f>
        <v>1.5833333333333333</v>
      </c>
      <c r="L191" s="379">
        <f t="shared" si="118"/>
        <v>58</v>
      </c>
      <c r="M191" s="379">
        <f t="shared" si="118"/>
        <v>318</v>
      </c>
      <c r="N191" s="380">
        <f t="shared" si="118"/>
        <v>27.166666666666668</v>
      </c>
    </row>
    <row r="192" spans="1:14" hidden="1" x14ac:dyDescent="0.2">
      <c r="A192" s="382" t="s">
        <v>54</v>
      </c>
      <c r="B192" s="379" t="s">
        <v>29</v>
      </c>
      <c r="C192" s="379">
        <v>12</v>
      </c>
      <c r="D192" s="379">
        <v>68</v>
      </c>
      <c r="E192" s="379">
        <f>D192/12</f>
        <v>5.666666666666667</v>
      </c>
      <c r="F192" s="379">
        <v>3</v>
      </c>
      <c r="G192" s="379">
        <v>3</v>
      </c>
      <c r="H192" s="379">
        <f>G192/9</f>
        <v>0.33333333333333331</v>
      </c>
      <c r="I192" s="379">
        <v>5</v>
      </c>
      <c r="J192" s="379">
        <v>23</v>
      </c>
      <c r="K192" s="379">
        <f>J192/12</f>
        <v>1.9166666666666667</v>
      </c>
      <c r="L192" s="379">
        <f>+C192+F192+I192</f>
        <v>20</v>
      </c>
      <c r="M192" s="379">
        <f>+D192+G192+J192</f>
        <v>94</v>
      </c>
      <c r="N192" s="380">
        <f>+E192+H192+K192</f>
        <v>7.916666666666667</v>
      </c>
    </row>
    <row r="193" spans="1:14" ht="13.5" thickBot="1" x14ac:dyDescent="0.25">
      <c r="A193" s="401"/>
      <c r="B193" s="395"/>
      <c r="C193" s="395"/>
      <c r="D193" s="395"/>
      <c r="E193" s="395"/>
      <c r="F193" s="395"/>
      <c r="G193" s="395"/>
      <c r="H193" s="395"/>
      <c r="I193" s="395"/>
      <c r="J193" s="395"/>
      <c r="K193" s="395"/>
      <c r="L193" s="395"/>
      <c r="M193" s="395"/>
      <c r="N193" s="396"/>
    </row>
    <row r="195" spans="1:14" x14ac:dyDescent="0.2">
      <c r="A195" s="379" t="s">
        <v>40</v>
      </c>
      <c r="C195" s="402" t="s">
        <v>121</v>
      </c>
      <c r="L195" s="379"/>
      <c r="M195" s="379"/>
      <c r="N195" s="379"/>
    </row>
    <row r="196" spans="1:14" x14ac:dyDescent="0.2">
      <c r="C196" s="402" t="s">
        <v>41</v>
      </c>
    </row>
    <row r="197" spans="1:14" x14ac:dyDescent="0.2">
      <c r="C197" s="402" t="s">
        <v>122</v>
      </c>
    </row>
    <row r="198" spans="1:14" x14ac:dyDescent="0.2">
      <c r="C198" s="402" t="s">
        <v>123</v>
      </c>
    </row>
    <row r="199" spans="1:14" x14ac:dyDescent="0.2">
      <c r="C199" s="402" t="s">
        <v>45</v>
      </c>
    </row>
    <row r="200" spans="1:14" x14ac:dyDescent="0.2">
      <c r="C200" s="402" t="s">
        <v>63</v>
      </c>
    </row>
    <row r="201" spans="1:14" x14ac:dyDescent="0.2">
      <c r="C201" s="402" t="s">
        <v>64</v>
      </c>
    </row>
  </sheetData>
  <mergeCells count="19">
    <mergeCell ref="L110:N110"/>
    <mergeCell ref="L111:N111"/>
    <mergeCell ref="A109:N109"/>
    <mergeCell ref="C110:E110"/>
    <mergeCell ref="F110:H110"/>
    <mergeCell ref="C111:E111"/>
    <mergeCell ref="F111:H111"/>
    <mergeCell ref="I110:K110"/>
    <mergeCell ref="I111:K111"/>
    <mergeCell ref="A6:N6"/>
    <mergeCell ref="L10:N10"/>
    <mergeCell ref="I10:K10"/>
    <mergeCell ref="A8:N8"/>
    <mergeCell ref="F9:H9"/>
    <mergeCell ref="C9:E9"/>
    <mergeCell ref="I9:K9"/>
    <mergeCell ref="L9:N9"/>
    <mergeCell ref="F10:H10"/>
    <mergeCell ref="C10:E10"/>
  </mergeCells>
  <phoneticPr fontId="0" type="noConversion"/>
  <hyperlinks>
    <hyperlink ref="L2" location="'Table of Contents'!A1" display="Back to Table Of Contents" xr:uid="{00000000-0004-0000-0100-000000000000}"/>
  </hyperlinks>
  <pageMargins left="0.5" right="0.5" top="0.5" bottom="0.5" header="0.5" footer="0.25"/>
  <pageSetup scale="70" firstPageNumber="0" fitToHeight="2" orientation="portrait" r:id="rId1"/>
  <headerFooter alignWithMargins="0">
    <oddHeader>&amp;ROctober 2022</oddHeader>
    <oddFooter>&amp;CPage &amp;P of &amp;N&amp;R&amp;8&amp;F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/>
    <pageSetUpPr fitToPage="1"/>
  </sheetPr>
  <dimension ref="A1:Q100"/>
  <sheetViews>
    <sheetView zoomScale="80" zoomScaleNormal="80" zoomScalePageLayoutView="70" workbookViewId="0">
      <selection activeCell="C17" sqref="C17"/>
    </sheetView>
  </sheetViews>
  <sheetFormatPr defaultColWidth="9.140625" defaultRowHeight="12.75" x14ac:dyDescent="0.2"/>
  <cols>
    <col min="1" max="1" width="19.7109375" style="29" customWidth="1"/>
    <col min="2" max="2" width="15.7109375" style="29" hidden="1" customWidth="1"/>
    <col min="3" max="3" width="11.85546875" style="29" customWidth="1"/>
    <col min="4" max="4" width="12.42578125" style="29" customWidth="1"/>
    <col min="5" max="5" width="9.140625" style="29"/>
    <col min="6" max="6" width="12" style="29" customWidth="1"/>
    <col min="7" max="7" width="12.5703125" style="29" customWidth="1"/>
    <col min="8" max="8" width="8.85546875" style="29" customWidth="1"/>
    <col min="9" max="9" width="11.85546875" style="29" customWidth="1"/>
    <col min="10" max="10" width="12.42578125" style="29" customWidth="1"/>
    <col min="11" max="11" width="8.85546875" style="29" customWidth="1"/>
    <col min="12" max="12" width="11.7109375" style="29" customWidth="1"/>
    <col min="13" max="13" width="8.85546875" style="29" customWidth="1"/>
    <col min="14" max="14" width="11.85546875" style="29" customWidth="1"/>
    <col min="15" max="15" width="8.7109375" style="29" customWidth="1"/>
    <col min="16" max="16" width="9.140625" style="29"/>
    <col min="17" max="17" width="8.140625" style="29" customWidth="1"/>
    <col min="18" max="16384" width="9.140625" style="29"/>
  </cols>
  <sheetData>
    <row r="1" spans="1:17" ht="18.75" x14ac:dyDescent="0.3">
      <c r="C1" s="360"/>
      <c r="L1" s="362" t="s">
        <v>98</v>
      </c>
    </row>
    <row r="2" spans="1:17" ht="15.75" x14ac:dyDescent="0.25">
      <c r="C2" s="361"/>
    </row>
    <row r="3" spans="1:17" x14ac:dyDescent="0.2">
      <c r="C3" s="363"/>
    </row>
    <row r="4" spans="1:17" x14ac:dyDescent="0.2">
      <c r="C4" s="27"/>
    </row>
    <row r="5" spans="1:17" ht="15.75" customHeight="1" x14ac:dyDescent="0.25">
      <c r="A5" s="597" t="s">
        <v>1426</v>
      </c>
      <c r="B5" s="597"/>
      <c r="C5" s="597"/>
      <c r="D5" s="597"/>
      <c r="E5" s="597"/>
      <c r="F5" s="597"/>
      <c r="G5" s="597"/>
      <c r="H5" s="597"/>
      <c r="I5" s="597"/>
      <c r="J5" s="597"/>
      <c r="K5" s="597"/>
      <c r="L5" s="597"/>
      <c r="M5" s="597"/>
      <c r="N5" s="597"/>
      <c r="O5" s="597"/>
      <c r="P5" s="597"/>
      <c r="Q5" s="597"/>
    </row>
    <row r="6" spans="1:17" x14ac:dyDescent="0.2">
      <c r="A6" s="403"/>
      <c r="B6" s="376"/>
      <c r="C6" s="607" t="s">
        <v>20</v>
      </c>
      <c r="D6" s="607"/>
      <c r="E6" s="607"/>
      <c r="F6" s="607" t="s">
        <v>21</v>
      </c>
      <c r="G6" s="607"/>
      <c r="H6" s="607"/>
      <c r="I6" s="607" t="s">
        <v>20</v>
      </c>
      <c r="J6" s="607"/>
      <c r="K6" s="607"/>
      <c r="L6" s="609" t="s">
        <v>42</v>
      </c>
      <c r="M6" s="610"/>
      <c r="N6" s="610"/>
      <c r="O6" s="610"/>
      <c r="P6" s="610"/>
      <c r="Q6" s="611"/>
    </row>
    <row r="7" spans="1:17" x14ac:dyDescent="0.2">
      <c r="A7" s="404"/>
      <c r="B7" s="405"/>
      <c r="C7" s="607" t="s">
        <v>112</v>
      </c>
      <c r="D7" s="607"/>
      <c r="E7" s="607"/>
      <c r="F7" s="607" t="s">
        <v>112</v>
      </c>
      <c r="G7" s="607"/>
      <c r="H7" s="607"/>
      <c r="I7" s="608" t="s">
        <v>59</v>
      </c>
      <c r="J7" s="608"/>
      <c r="K7" s="608"/>
      <c r="L7" s="612"/>
      <c r="M7" s="613"/>
      <c r="N7" s="613"/>
      <c r="O7" s="613"/>
      <c r="P7" s="613"/>
      <c r="Q7" s="614"/>
    </row>
    <row r="8" spans="1:17" ht="20.25" customHeight="1" thickBot="1" x14ac:dyDescent="0.25">
      <c r="A8" s="404" t="s">
        <v>128</v>
      </c>
      <c r="B8" s="405"/>
      <c r="C8" s="406" t="s">
        <v>72</v>
      </c>
      <c r="D8" s="407" t="s">
        <v>115</v>
      </c>
      <c r="E8" s="407" t="s">
        <v>116</v>
      </c>
      <c r="F8" s="406" t="s">
        <v>153</v>
      </c>
      <c r="G8" s="407" t="s">
        <v>115</v>
      </c>
      <c r="H8" s="407" t="s">
        <v>116</v>
      </c>
      <c r="I8" s="406" t="s">
        <v>153</v>
      </c>
      <c r="J8" s="407" t="s">
        <v>115</v>
      </c>
      <c r="K8" s="407" t="s">
        <v>116</v>
      </c>
      <c r="L8" s="406" t="s">
        <v>72</v>
      </c>
      <c r="M8" s="408" t="s">
        <v>274</v>
      </c>
      <c r="N8" s="407" t="s">
        <v>115</v>
      </c>
      <c r="O8" s="408" t="s">
        <v>274</v>
      </c>
      <c r="P8" s="407" t="s">
        <v>116</v>
      </c>
      <c r="Q8" s="406" t="s">
        <v>274</v>
      </c>
    </row>
    <row r="9" spans="1:17" ht="21" customHeight="1" thickBot="1" x14ac:dyDescent="0.25">
      <c r="A9" s="423" t="s">
        <v>643</v>
      </c>
      <c r="B9" s="409"/>
      <c r="C9" s="409"/>
      <c r="D9" s="409"/>
      <c r="E9" s="409"/>
      <c r="F9" s="409"/>
      <c r="G9" s="409"/>
      <c r="H9" s="409"/>
      <c r="I9" s="409"/>
      <c r="J9" s="409"/>
      <c r="K9" s="410"/>
      <c r="L9" s="409"/>
      <c r="M9" s="410"/>
      <c r="N9" s="409"/>
      <c r="O9" s="410"/>
      <c r="P9" s="411"/>
      <c r="Q9" s="412"/>
    </row>
    <row r="10" spans="1:17" s="136" customFormat="1" ht="21" customHeight="1" x14ac:dyDescent="0.2">
      <c r="A10" s="413" t="s">
        <v>1432</v>
      </c>
      <c r="B10" s="414"/>
      <c r="C10" s="414">
        <f>+'1-Res_NonRes'!C13+'1-Res_NonRes'!C114</f>
        <v>2624</v>
      </c>
      <c r="D10" s="414">
        <f>+'1-Res_NonRes'!D13+'1-Res_NonRes'!D114</f>
        <v>32619.73</v>
      </c>
      <c r="E10" s="414">
        <f>+D10/12</f>
        <v>2718.3108333333334</v>
      </c>
      <c r="F10" s="414">
        <f>+'1-Res_NonRes'!F13+'1-Res_NonRes'!F114</f>
        <v>293</v>
      </c>
      <c r="G10" s="414">
        <f>+'1-Res_NonRes'!G13+'1-Res_NonRes'!G114</f>
        <v>1881</v>
      </c>
      <c r="H10" s="414">
        <f>+G10/9</f>
        <v>209</v>
      </c>
      <c r="I10" s="414">
        <f>+'1-Res_NonRes'!I13+'1-Res_NonRes'!I114</f>
        <v>45</v>
      </c>
      <c r="J10" s="414">
        <f>+'1-Res_NonRes'!J13+'1-Res_NonRes'!J114</f>
        <v>317</v>
      </c>
      <c r="K10" s="415">
        <f>J10/12</f>
        <v>26.416666666666668</v>
      </c>
      <c r="L10" s="414">
        <f t="shared" ref="L10" si="0">+C10+F10+I10</f>
        <v>2962</v>
      </c>
      <c r="M10" s="416">
        <f t="shared" ref="M10" si="1">(L10-L11)/L11</f>
        <v>-4.6054750402576491E-2</v>
      </c>
      <c r="N10" s="414">
        <f t="shared" ref="N10" si="2">+D10+G10+J10</f>
        <v>34817.729999999996</v>
      </c>
      <c r="O10" s="416">
        <f>(N10-N11)/N11</f>
        <v>-4.2126881069630639E-2</v>
      </c>
      <c r="P10" s="417">
        <f t="shared" ref="P10" si="3">+E10+H10+K10</f>
        <v>2953.7275</v>
      </c>
      <c r="Q10" s="418">
        <f t="shared" ref="Q10" si="4">(P10-P11)/P11</f>
        <v>-4.5302657568683874E-2</v>
      </c>
    </row>
    <row r="11" spans="1:17" x14ac:dyDescent="0.2">
      <c r="A11" s="512" t="s">
        <v>641</v>
      </c>
      <c r="B11" s="414"/>
      <c r="C11" s="379">
        <f>+'1-Res_NonRes'!C14+'1-Res_NonRes'!C115</f>
        <v>2742</v>
      </c>
      <c r="D11" s="379">
        <f>+'1-Res_NonRes'!D14+'1-Res_NonRes'!D115</f>
        <v>33856</v>
      </c>
      <c r="E11" s="379">
        <f>+D11/12</f>
        <v>2821.3333333333335</v>
      </c>
      <c r="F11" s="379">
        <f>+'1-Res_NonRes'!F14+'1-Res_NonRes'!F115</f>
        <v>338</v>
      </c>
      <c r="G11" s="379">
        <f>+'1-Res_NonRes'!G14+'1-Res_NonRes'!G115</f>
        <v>2333</v>
      </c>
      <c r="H11" s="379">
        <f>+G11/9</f>
        <v>259.22222222222223</v>
      </c>
      <c r="I11" s="379">
        <f>+'1-Res_NonRes'!I14+'1-Res_NonRes'!I115</f>
        <v>25</v>
      </c>
      <c r="J11" s="379">
        <f>+'1-Res_NonRes'!J14+'1-Res_NonRes'!J115</f>
        <v>160</v>
      </c>
      <c r="K11" s="419">
        <f>J11/12</f>
        <v>13.333333333333334</v>
      </c>
      <c r="L11" s="379">
        <f t="shared" ref="L11" si="5">+C11+F11+I11</f>
        <v>3105</v>
      </c>
      <c r="M11" s="420">
        <f t="shared" ref="M11" si="6">(L11-L12)/L12</f>
        <v>-9.9739054798492321E-2</v>
      </c>
      <c r="N11" s="379">
        <f t="shared" ref="N11" si="7">+D11+G11+J11</f>
        <v>36349</v>
      </c>
      <c r="O11" s="420">
        <f>(N11-N12)/N12</f>
        <v>-0.12189878004589927</v>
      </c>
      <c r="P11" s="380">
        <f t="shared" ref="P11" si="8">+E11+H11+K11</f>
        <v>3093.8888888888891</v>
      </c>
      <c r="Q11" s="421">
        <f t="shared" ref="Q11" si="9">(P11-P12)/P12</f>
        <v>-0.1181942696086581</v>
      </c>
    </row>
    <row r="12" spans="1:17" x14ac:dyDescent="0.2">
      <c r="A12" s="378" t="s">
        <v>348</v>
      </c>
      <c r="B12" s="379"/>
      <c r="C12" s="379">
        <f>+'1-Res_NonRes'!C15+'1-Res_NonRes'!C116</f>
        <v>3096</v>
      </c>
      <c r="D12" s="379">
        <f>+'1-Res_NonRes'!D15+'1-Res_NonRes'!D116</f>
        <v>39159</v>
      </c>
      <c r="E12" s="379">
        <f>+D12/12</f>
        <v>3263.25</v>
      </c>
      <c r="F12" s="379">
        <f>+'1-Res_NonRes'!F15+'1-Res_NonRes'!F116</f>
        <v>331</v>
      </c>
      <c r="G12" s="379">
        <f>+'1-Res_NonRes'!G15+'1-Res_NonRes'!G116</f>
        <v>2124</v>
      </c>
      <c r="H12" s="379">
        <f>+G12/9</f>
        <v>236</v>
      </c>
      <c r="I12" s="379">
        <f>+'1-Res_NonRes'!I15+'1-Res_NonRes'!I116</f>
        <v>22</v>
      </c>
      <c r="J12" s="379">
        <f>+'1-Res_NonRes'!J15+'1-Res_NonRes'!J116</f>
        <v>112</v>
      </c>
      <c r="K12" s="419">
        <f>J12/12</f>
        <v>9.3333333333333339</v>
      </c>
      <c r="L12" s="379">
        <f t="shared" ref="L12" si="10">+C12+F12+I12</f>
        <v>3449</v>
      </c>
      <c r="M12" s="420">
        <f t="shared" ref="M12" si="11">(L12-L13)/L13</f>
        <v>-3.1995509402189169E-2</v>
      </c>
      <c r="N12" s="379">
        <f t="shared" ref="N12" si="12">+D12+G12+J12</f>
        <v>41395</v>
      </c>
      <c r="O12" s="420">
        <f>(N12-N13)/N13</f>
        <v>-3.7325581395348841E-2</v>
      </c>
      <c r="P12" s="380">
        <f t="shared" ref="P12" si="13">+E12+H12+K12</f>
        <v>3508.5833333333335</v>
      </c>
      <c r="Q12" s="421">
        <f t="shared" ref="Q12" si="14">(P12-P13)/P13</f>
        <v>-3.8678448295545315E-2</v>
      </c>
    </row>
    <row r="13" spans="1:17" x14ac:dyDescent="0.2">
      <c r="A13" s="378" t="s">
        <v>322</v>
      </c>
      <c r="B13" s="379"/>
      <c r="C13" s="379">
        <f>+'1-Res_NonRes'!C16+'1-Res_NonRes'!C117</f>
        <v>3169</v>
      </c>
      <c r="D13" s="379">
        <f>+'1-Res_NonRes'!D16+'1-Res_NonRes'!D117</f>
        <v>40275</v>
      </c>
      <c r="E13" s="379">
        <f>+D13/12</f>
        <v>3356.25</v>
      </c>
      <c r="F13" s="379">
        <f>+'1-Res_NonRes'!F16+'1-Res_NonRes'!F117</f>
        <v>348</v>
      </c>
      <c r="G13" s="379">
        <f>+'1-Res_NonRes'!G16+'1-Res_NonRes'!G117</f>
        <v>2391</v>
      </c>
      <c r="H13" s="379">
        <f>+G13/9</f>
        <v>265.66666666666669</v>
      </c>
      <c r="I13" s="379">
        <f>+'1-Res_NonRes'!I16+'1-Res_NonRes'!I117</f>
        <v>46</v>
      </c>
      <c r="J13" s="379">
        <f>+'1-Res_NonRes'!J16+'1-Res_NonRes'!J117</f>
        <v>334</v>
      </c>
      <c r="K13" s="419">
        <f>J13/12</f>
        <v>27.833333333333332</v>
      </c>
      <c r="L13" s="379">
        <f t="shared" ref="L13" si="15">+C13+F13+I13</f>
        <v>3563</v>
      </c>
      <c r="M13" s="420">
        <f t="shared" ref="M13" si="16">(L13-L14)/L14</f>
        <v>-4.8344017094017096E-2</v>
      </c>
      <c r="N13" s="379">
        <f t="shared" ref="N13" si="17">+D13+G13+J13</f>
        <v>43000</v>
      </c>
      <c r="O13" s="420">
        <f>(N13-N14)/N14</f>
        <v>-5.1693719124911788E-2</v>
      </c>
      <c r="P13" s="380">
        <f t="shared" ref="P13" si="18">+E13+H13+K13</f>
        <v>3649.75</v>
      </c>
      <c r="Q13" s="421">
        <f t="shared" ref="Q13" si="19">(P13-P14)/P14</f>
        <v>-5.0011568383607548E-2</v>
      </c>
    </row>
    <row r="14" spans="1:17" x14ac:dyDescent="0.2">
      <c r="A14" s="378" t="s">
        <v>297</v>
      </c>
      <c r="B14" s="379"/>
      <c r="C14" s="379">
        <f>+'1-Res_NonRes'!C17+'1-Res_NonRes'!C118</f>
        <v>3375</v>
      </c>
      <c r="D14" s="379">
        <f>+'1-Res_NonRes'!D17+'1-Res_NonRes'!D118</f>
        <v>42780</v>
      </c>
      <c r="E14" s="379">
        <f>+D14/12</f>
        <v>3565</v>
      </c>
      <c r="F14" s="379">
        <f>+'1-Res_NonRes'!F17+'1-Res_NonRes'!F118</f>
        <v>323</v>
      </c>
      <c r="G14" s="379">
        <f>+'1-Res_NonRes'!G17+'1-Res_NonRes'!G118</f>
        <v>2276</v>
      </c>
      <c r="H14" s="379">
        <f>+G14/9</f>
        <v>252.88888888888889</v>
      </c>
      <c r="I14" s="379">
        <f>+'1-Res_NonRes'!I17+'1-Res_NonRes'!I118</f>
        <v>46</v>
      </c>
      <c r="J14" s="379">
        <f>+'1-Res_NonRes'!J17+'1-Res_NonRes'!J118</f>
        <v>288</v>
      </c>
      <c r="K14" s="419">
        <f>J14/12</f>
        <v>24</v>
      </c>
      <c r="L14" s="379">
        <f t="shared" ref="L14:L30" si="20">+C14+F14+I14</f>
        <v>3744</v>
      </c>
      <c r="M14" s="420">
        <f t="shared" ref="M14:M32" si="21">(L14-L15)/L15</f>
        <v>-4.4166453918815421E-2</v>
      </c>
      <c r="N14" s="379">
        <f t="shared" ref="N14:N30" si="22">+D14+G14+J14</f>
        <v>45344</v>
      </c>
      <c r="O14" s="420">
        <f>(N14-N15)/N15</f>
        <v>-3.1793820596587877E-2</v>
      </c>
      <c r="P14" s="380">
        <f t="shared" ref="P14:P30" si="23">+E14+H14+K14</f>
        <v>3841.8888888888887</v>
      </c>
      <c r="Q14" s="421">
        <f t="shared" ref="Q14:Q32" si="24">(P14-P15)/P15</f>
        <v>-3.1212350452495041E-2</v>
      </c>
    </row>
    <row r="15" spans="1:17" x14ac:dyDescent="0.2">
      <c r="A15" s="378" t="s">
        <v>287</v>
      </c>
      <c r="B15" s="379"/>
      <c r="C15" s="379">
        <f>'1-Res_NonRes'!C18+'1-Res_NonRes'!C119</f>
        <v>3533</v>
      </c>
      <c r="D15" s="379">
        <f>'1-Res_NonRes'!D18+'1-Res_NonRes'!D119</f>
        <v>44351</v>
      </c>
      <c r="E15" s="379">
        <f t="shared" ref="E15:E30" si="25">D15/12</f>
        <v>3695.9166666666665</v>
      </c>
      <c r="F15" s="379">
        <f>'1-Res_NonRes'!F18+'1-Res_NonRes'!F119</f>
        <v>336</v>
      </c>
      <c r="G15" s="379">
        <f>'1-Res_NonRes'!G18+'1-Res_NonRes'!G119</f>
        <v>2265</v>
      </c>
      <c r="H15" s="379">
        <f t="shared" ref="H15:H30" si="26">G15/9</f>
        <v>251.66666666666666</v>
      </c>
      <c r="I15" s="379">
        <f>'1-Res_NonRes'!I18+'1-Res_NonRes'!I119</f>
        <v>48</v>
      </c>
      <c r="J15" s="379">
        <f>'1-Res_NonRes'!J18+'1-Res_NonRes'!J119</f>
        <v>217</v>
      </c>
      <c r="K15" s="419">
        <f t="shared" ref="K15:K30" si="27">J15/12</f>
        <v>18.083333333333332</v>
      </c>
      <c r="L15" s="379">
        <f t="shared" si="20"/>
        <v>3917</v>
      </c>
      <c r="M15" s="420">
        <f t="shared" si="21"/>
        <v>1.0838709677419355E-2</v>
      </c>
      <c r="N15" s="379">
        <f t="shared" si="22"/>
        <v>46833</v>
      </c>
      <c r="O15" s="420">
        <f t="shared" ref="O15:O32" si="28">(N15-N16)/N16</f>
        <v>1.2802491295603468E-2</v>
      </c>
      <c r="P15" s="380">
        <f t="shared" si="23"/>
        <v>3965.6666666666665</v>
      </c>
      <c r="Q15" s="421">
        <f t="shared" si="24"/>
        <v>1.3006364816825216E-2</v>
      </c>
    </row>
    <row r="16" spans="1:17" x14ac:dyDescent="0.2">
      <c r="A16" s="378" t="s">
        <v>211</v>
      </c>
      <c r="B16" s="379"/>
      <c r="C16" s="379">
        <f>'1-Res_NonRes'!C19+'1-Res_NonRes'!C120</f>
        <v>3520</v>
      </c>
      <c r="D16" s="379">
        <f>'1-Res_NonRes'!D19+'1-Res_NonRes'!D120</f>
        <v>43728</v>
      </c>
      <c r="E16" s="379">
        <f t="shared" si="25"/>
        <v>3644</v>
      </c>
      <c r="F16" s="379">
        <f>'1-Res_NonRes'!F19+'1-Res_NonRes'!F120</f>
        <v>313</v>
      </c>
      <c r="G16" s="379">
        <f>'1-Res_NonRes'!G19+'1-Res_NonRes'!G120</f>
        <v>2208</v>
      </c>
      <c r="H16" s="379">
        <f t="shared" si="26"/>
        <v>245.33333333333334</v>
      </c>
      <c r="I16" s="379">
        <f>'1-Res_NonRes'!I19+'1-Res_NonRes'!I120</f>
        <v>42</v>
      </c>
      <c r="J16" s="379">
        <f>'1-Res_NonRes'!J19+'1-Res_NonRes'!J120</f>
        <v>305</v>
      </c>
      <c r="K16" s="419">
        <f t="shared" si="27"/>
        <v>25.416666666666668</v>
      </c>
      <c r="L16" s="379">
        <f t="shared" si="20"/>
        <v>3875</v>
      </c>
      <c r="M16" s="420">
        <f t="shared" si="21"/>
        <v>-2.9065397143573039E-2</v>
      </c>
      <c r="N16" s="379">
        <f t="shared" si="22"/>
        <v>46241</v>
      </c>
      <c r="O16" s="420">
        <f t="shared" si="28"/>
        <v>-1.5541504332460454E-2</v>
      </c>
      <c r="P16" s="380">
        <f t="shared" si="23"/>
        <v>3914.75</v>
      </c>
      <c r="Q16" s="421">
        <f t="shared" si="24"/>
        <v>-1.4440963383591087E-2</v>
      </c>
    </row>
    <row r="17" spans="1:17" x14ac:dyDescent="0.2">
      <c r="A17" s="378" t="s">
        <v>208</v>
      </c>
      <c r="B17" s="379"/>
      <c r="C17" s="379">
        <f>'1-Res_NonRes'!C20+'1-Res_NonRes'!C121</f>
        <v>3647</v>
      </c>
      <c r="D17" s="379">
        <f>'1-Res_NonRes'!D20+'1-Res_NonRes'!D121</f>
        <v>44499</v>
      </c>
      <c r="E17" s="379">
        <f t="shared" si="25"/>
        <v>3708.25</v>
      </c>
      <c r="F17" s="379">
        <f>'1-Res_NonRes'!F20+'1-Res_NonRes'!F121</f>
        <v>295</v>
      </c>
      <c r="G17" s="379">
        <f>'1-Res_NonRes'!G20+'1-Res_NonRes'!G121</f>
        <v>2083</v>
      </c>
      <c r="H17" s="379">
        <f t="shared" si="26"/>
        <v>231.44444444444446</v>
      </c>
      <c r="I17" s="379">
        <f>'1-Res_NonRes'!I20+'1-Res_NonRes'!I121</f>
        <v>49</v>
      </c>
      <c r="J17" s="379">
        <f>'1-Res_NonRes'!J20+'1-Res_NonRes'!J121</f>
        <v>389</v>
      </c>
      <c r="K17" s="419">
        <f t="shared" si="27"/>
        <v>32.416666666666664</v>
      </c>
      <c r="L17" s="379">
        <f t="shared" si="20"/>
        <v>3991</v>
      </c>
      <c r="M17" s="420">
        <f t="shared" si="21"/>
        <v>8.3375442142496203E-3</v>
      </c>
      <c r="N17" s="379">
        <f t="shared" si="22"/>
        <v>46971</v>
      </c>
      <c r="O17" s="420">
        <f t="shared" si="28"/>
        <v>1.1509687320161136E-3</v>
      </c>
      <c r="P17" s="380">
        <f t="shared" si="23"/>
        <v>3972.1111111111109</v>
      </c>
      <c r="Q17" s="421">
        <f t="shared" si="24"/>
        <v>1.2603629845395474E-3</v>
      </c>
    </row>
    <row r="18" spans="1:17" x14ac:dyDescent="0.2">
      <c r="A18" s="378" t="s">
        <v>203</v>
      </c>
      <c r="B18" s="379"/>
      <c r="C18" s="379">
        <f>'1-Res_NonRes'!C21+'1-Res_NonRes'!C122</f>
        <v>3607</v>
      </c>
      <c r="D18" s="379">
        <f>'1-Res_NonRes'!D21+'1-Res_NonRes'!D122</f>
        <v>44514</v>
      </c>
      <c r="E18" s="379">
        <f t="shared" si="25"/>
        <v>3709.5</v>
      </c>
      <c r="F18" s="379">
        <f>'1-Res_NonRes'!F21+'1-Res_NonRes'!F122</f>
        <v>298</v>
      </c>
      <c r="G18" s="379">
        <f>'1-Res_NonRes'!G21+'1-Res_NonRes'!G122</f>
        <v>2065</v>
      </c>
      <c r="H18" s="379">
        <f t="shared" si="26"/>
        <v>229.44444444444446</v>
      </c>
      <c r="I18" s="379">
        <f>'1-Res_NonRes'!I21+'1-Res_NonRes'!I122</f>
        <v>53</v>
      </c>
      <c r="J18" s="379">
        <f>'1-Res_NonRes'!J21+'1-Res_NonRes'!J122</f>
        <v>338</v>
      </c>
      <c r="K18" s="419">
        <f t="shared" si="27"/>
        <v>28.166666666666668</v>
      </c>
      <c r="L18" s="379">
        <f t="shared" si="20"/>
        <v>3958</v>
      </c>
      <c r="M18" s="420">
        <f t="shared" si="21"/>
        <v>3.180396246089677E-2</v>
      </c>
      <c r="N18" s="379">
        <f t="shared" si="22"/>
        <v>46917</v>
      </c>
      <c r="O18" s="420">
        <f t="shared" si="28"/>
        <v>2.8904142634706902E-2</v>
      </c>
      <c r="P18" s="380">
        <f t="shared" si="23"/>
        <v>3967.1111111111109</v>
      </c>
      <c r="Q18" s="421">
        <f t="shared" si="24"/>
        <v>2.8192944564434861E-2</v>
      </c>
    </row>
    <row r="19" spans="1:17" x14ac:dyDescent="0.2">
      <c r="A19" s="378" t="s">
        <v>179</v>
      </c>
      <c r="B19" s="379"/>
      <c r="C19" s="379">
        <f>'1-Res_NonRes'!C22+'1-Res_NonRes'!C123</f>
        <v>3488</v>
      </c>
      <c r="D19" s="379">
        <f>'1-Res_NonRes'!D22+'1-Res_NonRes'!D123</f>
        <v>43220</v>
      </c>
      <c r="E19" s="379">
        <f t="shared" si="25"/>
        <v>3601.6666666666665</v>
      </c>
      <c r="F19" s="379">
        <f>'1-Res_NonRes'!F22+'1-Res_NonRes'!F123</f>
        <v>304</v>
      </c>
      <c r="G19" s="379">
        <f>'1-Res_NonRes'!G22+'1-Res_NonRes'!G123</f>
        <v>2103</v>
      </c>
      <c r="H19" s="379">
        <f t="shared" si="26"/>
        <v>233.66666666666666</v>
      </c>
      <c r="I19" s="379">
        <f>'1-Res_NonRes'!I22+'1-Res_NonRes'!I123</f>
        <v>44</v>
      </c>
      <c r="J19" s="379">
        <f>'1-Res_NonRes'!J22+'1-Res_NonRes'!J123</f>
        <v>276</v>
      </c>
      <c r="K19" s="419">
        <f t="shared" si="27"/>
        <v>23</v>
      </c>
      <c r="L19" s="379">
        <f t="shared" si="20"/>
        <v>3836</v>
      </c>
      <c r="M19" s="420">
        <f t="shared" si="21"/>
        <v>3.6196650459211235E-2</v>
      </c>
      <c r="N19" s="379">
        <f t="shared" si="22"/>
        <v>45599</v>
      </c>
      <c r="O19" s="420">
        <f t="shared" si="28"/>
        <v>4.3789772467151947E-2</v>
      </c>
      <c r="P19" s="380">
        <f t="shared" si="23"/>
        <v>3858.333333333333</v>
      </c>
      <c r="Q19" s="421">
        <f t="shared" si="24"/>
        <v>4.2049589256911206E-2</v>
      </c>
    </row>
    <row r="20" spans="1:17" x14ac:dyDescent="0.2">
      <c r="A20" s="378" t="s">
        <v>163</v>
      </c>
      <c r="B20" s="379"/>
      <c r="C20" s="379">
        <f>'1-Res_NonRes'!C23+'1-Res_NonRes'!C124</f>
        <v>3364</v>
      </c>
      <c r="D20" s="379">
        <f>'1-Res_NonRes'!D23+'1-Res_NonRes'!D124</f>
        <v>41116</v>
      </c>
      <c r="E20" s="379">
        <f t="shared" si="25"/>
        <v>3426.3333333333335</v>
      </c>
      <c r="F20" s="379">
        <f>'1-Res_NonRes'!F23+'1-Res_NonRes'!F124</f>
        <v>291</v>
      </c>
      <c r="G20" s="379">
        <f>'1-Res_NonRes'!G23+'1-Res_NonRes'!G124</f>
        <v>2237</v>
      </c>
      <c r="H20" s="379">
        <f t="shared" si="26"/>
        <v>248.55555555555554</v>
      </c>
      <c r="I20" s="379">
        <f>'1-Res_NonRes'!I23+'1-Res_NonRes'!I124</f>
        <v>47</v>
      </c>
      <c r="J20" s="379">
        <f>'1-Res_NonRes'!J23+'1-Res_NonRes'!J124</f>
        <v>333</v>
      </c>
      <c r="K20" s="419">
        <f t="shared" si="27"/>
        <v>27.75</v>
      </c>
      <c r="L20" s="379">
        <f t="shared" si="20"/>
        <v>3702</v>
      </c>
      <c r="M20" s="420">
        <f t="shared" si="21"/>
        <v>-5.1061542596076322E-3</v>
      </c>
      <c r="N20" s="379">
        <f t="shared" si="22"/>
        <v>43686</v>
      </c>
      <c r="O20" s="420">
        <f t="shared" si="28"/>
        <v>-2.0559210526315788E-3</v>
      </c>
      <c r="P20" s="380">
        <f t="shared" si="23"/>
        <v>3702.6388888888891</v>
      </c>
      <c r="Q20" s="421">
        <f t="shared" si="24"/>
        <v>-5.4912669457065633E-3</v>
      </c>
    </row>
    <row r="21" spans="1:17" x14ac:dyDescent="0.2">
      <c r="A21" s="378" t="s">
        <v>127</v>
      </c>
      <c r="B21" s="379"/>
      <c r="C21" s="379">
        <f>'1-Res_NonRes'!C24+'1-Res_NonRes'!C125</f>
        <v>3317</v>
      </c>
      <c r="D21" s="379">
        <f>'1-Res_NonRes'!D24+'1-Res_NonRes'!D125</f>
        <v>40569</v>
      </c>
      <c r="E21" s="379">
        <f t="shared" si="25"/>
        <v>3380.75</v>
      </c>
      <c r="F21" s="379">
        <f>'1-Res_NonRes'!F24+'1-Res_NonRes'!F125</f>
        <v>348</v>
      </c>
      <c r="G21" s="379">
        <f>'1-Res_NonRes'!G24+'1-Res_NonRes'!G125</f>
        <v>2703</v>
      </c>
      <c r="H21" s="379">
        <f t="shared" si="26"/>
        <v>300.33333333333331</v>
      </c>
      <c r="I21" s="379">
        <f>'1-Res_NonRes'!I24+'1-Res_NonRes'!I125</f>
        <v>56</v>
      </c>
      <c r="J21" s="379">
        <f>'1-Res_NonRes'!J24+'1-Res_NonRes'!J125</f>
        <v>504</v>
      </c>
      <c r="K21" s="419">
        <f t="shared" si="27"/>
        <v>42</v>
      </c>
      <c r="L21" s="379">
        <f t="shared" si="20"/>
        <v>3721</v>
      </c>
      <c r="M21" s="420">
        <f t="shared" si="21"/>
        <v>2.2533663094256664E-2</v>
      </c>
      <c r="N21" s="379">
        <f t="shared" si="22"/>
        <v>43776</v>
      </c>
      <c r="O21" s="420">
        <f t="shared" si="28"/>
        <v>1.8591339553714777E-2</v>
      </c>
      <c r="P21" s="380">
        <f t="shared" si="23"/>
        <v>3723.0833333333335</v>
      </c>
      <c r="Q21" s="421">
        <f t="shared" si="24"/>
        <v>2.0387809947241344E-2</v>
      </c>
    </row>
    <row r="22" spans="1:17" s="136" customFormat="1" x14ac:dyDescent="0.2">
      <c r="A22" s="378" t="s">
        <v>113</v>
      </c>
      <c r="B22" s="379" t="s">
        <v>29</v>
      </c>
      <c r="C22" s="379">
        <f>'1-Res_NonRes'!C25+'1-Res_NonRes'!C126</f>
        <v>3267</v>
      </c>
      <c r="D22" s="379">
        <f>'1-Res_NonRes'!D25+'1-Res_NonRes'!D126</f>
        <v>40245</v>
      </c>
      <c r="E22" s="379">
        <f t="shared" si="25"/>
        <v>3353.75</v>
      </c>
      <c r="F22" s="379">
        <f>'1-Res_NonRes'!F25+'1-Res_NonRes'!F126</f>
        <v>328</v>
      </c>
      <c r="G22" s="379">
        <f>'1-Res_NonRes'!G25+'1-Res_NonRes'!G126</f>
        <v>2422</v>
      </c>
      <c r="H22" s="379">
        <f t="shared" si="26"/>
        <v>269.11111111111109</v>
      </c>
      <c r="I22" s="379">
        <f>'1-Res_NonRes'!I25+'1-Res_NonRes'!I126</f>
        <v>44</v>
      </c>
      <c r="J22" s="379">
        <f>'1-Res_NonRes'!J25+'1-Res_NonRes'!J126</f>
        <v>310</v>
      </c>
      <c r="K22" s="419">
        <f t="shared" si="27"/>
        <v>25.833333333333332</v>
      </c>
      <c r="L22" s="379">
        <f t="shared" si="20"/>
        <v>3639</v>
      </c>
      <c r="M22" s="420">
        <f t="shared" si="21"/>
        <v>2.5070422535211266E-2</v>
      </c>
      <c r="N22" s="379">
        <f t="shared" si="22"/>
        <v>42977</v>
      </c>
      <c r="O22" s="420">
        <f t="shared" si="28"/>
        <v>2.6120382971611393E-2</v>
      </c>
      <c r="P22" s="380">
        <f t="shared" si="23"/>
        <v>3648.6944444444448</v>
      </c>
      <c r="Q22" s="421">
        <f t="shared" si="24"/>
        <v>3.0405484911003637E-2</v>
      </c>
    </row>
    <row r="23" spans="1:17" s="136" customFormat="1" x14ac:dyDescent="0.2">
      <c r="A23" s="378" t="s">
        <v>9</v>
      </c>
      <c r="B23" s="379" t="s">
        <v>29</v>
      </c>
      <c r="C23" s="379">
        <f>'1-Res_NonRes'!C26+'1-Res_NonRes'!C127</f>
        <v>3211</v>
      </c>
      <c r="D23" s="379">
        <f>'1-Res_NonRes'!D26+'1-Res_NonRes'!D127</f>
        <v>39570</v>
      </c>
      <c r="E23" s="379">
        <f t="shared" si="25"/>
        <v>3297.5</v>
      </c>
      <c r="F23" s="379">
        <f>'1-Res_NonRes'!F26+'1-Res_NonRes'!F127</f>
        <v>271</v>
      </c>
      <c r="G23" s="379">
        <f>'1-Res_NonRes'!G26+'1-Res_NonRes'!G127</f>
        <v>1828</v>
      </c>
      <c r="H23" s="379">
        <f t="shared" si="26"/>
        <v>203.11111111111111</v>
      </c>
      <c r="I23" s="379">
        <f>'1-Res_NonRes'!I26+'1-Res_NonRes'!I127</f>
        <v>68</v>
      </c>
      <c r="J23" s="379">
        <f>'1-Res_NonRes'!J26+'1-Res_NonRes'!J127</f>
        <v>485</v>
      </c>
      <c r="K23" s="419">
        <f t="shared" si="27"/>
        <v>40.416666666666664</v>
      </c>
      <c r="L23" s="379">
        <f t="shared" si="20"/>
        <v>3550</v>
      </c>
      <c r="M23" s="420">
        <f t="shared" si="21"/>
        <v>4.8125184529081787E-2</v>
      </c>
      <c r="N23" s="379">
        <f t="shared" si="22"/>
        <v>41883</v>
      </c>
      <c r="O23" s="420">
        <f t="shared" si="28"/>
        <v>7.2987651790746524E-2</v>
      </c>
      <c r="P23" s="380">
        <f t="shared" si="23"/>
        <v>3541.0277777777778</v>
      </c>
      <c r="Q23" s="421">
        <f t="shared" si="24"/>
        <v>6.9976498237367846E-2</v>
      </c>
    </row>
    <row r="24" spans="1:17" x14ac:dyDescent="0.2">
      <c r="A24" s="378" t="s">
        <v>99</v>
      </c>
      <c r="B24" s="379" t="s">
        <v>29</v>
      </c>
      <c r="C24" s="379">
        <f>'1-Res_NonRes'!C27+'1-Res_NonRes'!C128</f>
        <v>3000</v>
      </c>
      <c r="D24" s="379">
        <f>'1-Res_NonRes'!D27+'1-Res_NonRes'!D128</f>
        <v>36279</v>
      </c>
      <c r="E24" s="379">
        <f t="shared" si="25"/>
        <v>3023.25</v>
      </c>
      <c r="F24" s="379">
        <f>'1-Res_NonRes'!F27+'1-Res_NonRes'!F128</f>
        <v>293</v>
      </c>
      <c r="G24" s="379">
        <f>'1-Res_NonRes'!G27+'1-Res_NonRes'!G128</f>
        <v>2038</v>
      </c>
      <c r="H24" s="379">
        <f t="shared" si="26"/>
        <v>226.44444444444446</v>
      </c>
      <c r="I24" s="379">
        <f>'1-Res_NonRes'!I27+'1-Res_NonRes'!I128</f>
        <v>94</v>
      </c>
      <c r="J24" s="379">
        <f>'1-Res_NonRes'!J27+'1-Res_NonRes'!J128</f>
        <v>717</v>
      </c>
      <c r="K24" s="419">
        <f t="shared" si="27"/>
        <v>59.75</v>
      </c>
      <c r="L24" s="379">
        <f t="shared" si="20"/>
        <v>3387</v>
      </c>
      <c r="M24" s="420">
        <f t="shared" si="21"/>
        <v>3.1992687385740404E-2</v>
      </c>
      <c r="N24" s="379">
        <f t="shared" si="22"/>
        <v>39034</v>
      </c>
      <c r="O24" s="420">
        <f t="shared" si="28"/>
        <v>2.7021338174546793E-2</v>
      </c>
      <c r="P24" s="380">
        <f t="shared" si="23"/>
        <v>3309.4444444444443</v>
      </c>
      <c r="Q24" s="421">
        <f t="shared" si="24"/>
        <v>2.8425423187480169E-2</v>
      </c>
    </row>
    <row r="25" spans="1:17" x14ac:dyDescent="0.2">
      <c r="A25" s="378" t="s">
        <v>94</v>
      </c>
      <c r="B25" s="379" t="s">
        <v>29</v>
      </c>
      <c r="C25" s="379">
        <f>'1-Res_NonRes'!C28+'1-Res_NonRes'!C129</f>
        <v>2897</v>
      </c>
      <c r="D25" s="379">
        <f>'1-Res_NonRes'!D28+'1-Res_NonRes'!D129</f>
        <v>35117</v>
      </c>
      <c r="E25" s="379">
        <f t="shared" si="25"/>
        <v>2926.4166666666665</v>
      </c>
      <c r="F25" s="379">
        <f>'1-Res_NonRes'!F28+'1-Res_NonRes'!F129</f>
        <v>262</v>
      </c>
      <c r="G25" s="379">
        <f>'1-Res_NonRes'!G28+'1-Res_NonRes'!G129</f>
        <v>1826</v>
      </c>
      <c r="H25" s="379">
        <f t="shared" si="26"/>
        <v>202.88888888888889</v>
      </c>
      <c r="I25" s="379">
        <f>'1-Res_NonRes'!I28+'1-Res_NonRes'!I129</f>
        <v>123</v>
      </c>
      <c r="J25" s="379">
        <f>'1-Res_NonRes'!J28+'1-Res_NonRes'!J129</f>
        <v>1064</v>
      </c>
      <c r="K25" s="419">
        <f t="shared" si="27"/>
        <v>88.666666666666671</v>
      </c>
      <c r="L25" s="379">
        <f t="shared" si="20"/>
        <v>3282</v>
      </c>
      <c r="M25" s="420">
        <f t="shared" si="21"/>
        <v>3.3375314861460954E-2</v>
      </c>
      <c r="N25" s="379">
        <f t="shared" si="22"/>
        <v>38007</v>
      </c>
      <c r="O25" s="420">
        <f t="shared" si="28"/>
        <v>4.3918918918918921E-2</v>
      </c>
      <c r="P25" s="380">
        <f t="shared" si="23"/>
        <v>3217.9722222222217</v>
      </c>
      <c r="Q25" s="421">
        <f t="shared" si="24"/>
        <v>4.5663790302198665E-2</v>
      </c>
    </row>
    <row r="26" spans="1:17" x14ac:dyDescent="0.2">
      <c r="A26" s="378" t="s">
        <v>62</v>
      </c>
      <c r="B26" s="379" t="s">
        <v>29</v>
      </c>
      <c r="C26" s="379">
        <f>'1-Res_NonRes'!C29+'1-Res_NonRes'!C130</f>
        <v>2818</v>
      </c>
      <c r="D26" s="379">
        <f>'1-Res_NonRes'!D29+'1-Res_NonRes'!D130</f>
        <v>34106</v>
      </c>
      <c r="E26" s="379">
        <f t="shared" si="25"/>
        <v>2842.1666666666665</v>
      </c>
      <c r="F26" s="379">
        <f>'1-Res_NonRes'!F29+'1-Res_NonRes'!F130</f>
        <v>253</v>
      </c>
      <c r="G26" s="379">
        <f>'1-Res_NonRes'!G29+'1-Res_NonRes'!G130</f>
        <v>1564</v>
      </c>
      <c r="H26" s="379">
        <f t="shared" si="26"/>
        <v>173.77777777777777</v>
      </c>
      <c r="I26" s="379">
        <f>'1-Res_NonRes'!I29+'1-Res_NonRes'!I130</f>
        <v>105</v>
      </c>
      <c r="J26" s="379">
        <f>'1-Res_NonRes'!J29+'1-Res_NonRes'!J130</f>
        <v>738</v>
      </c>
      <c r="K26" s="419">
        <f t="shared" si="27"/>
        <v>61.5</v>
      </c>
      <c r="L26" s="379">
        <f t="shared" si="20"/>
        <v>3176</v>
      </c>
      <c r="M26" s="420">
        <f t="shared" si="21"/>
        <v>4.680290046143705E-2</v>
      </c>
      <c r="N26" s="379">
        <f t="shared" si="22"/>
        <v>36408</v>
      </c>
      <c r="O26" s="420">
        <f t="shared" si="28"/>
        <v>3.4700315457413249E-2</v>
      </c>
      <c r="P26" s="380">
        <f t="shared" si="23"/>
        <v>3077.4444444444443</v>
      </c>
      <c r="Q26" s="421">
        <f t="shared" si="24"/>
        <v>3.6865108704807664E-2</v>
      </c>
    </row>
    <row r="27" spans="1:17" ht="13.5" thickBot="1" x14ac:dyDescent="0.25">
      <c r="A27" s="378" t="s">
        <v>58</v>
      </c>
      <c r="B27" s="379" t="s">
        <v>43</v>
      </c>
      <c r="C27" s="379">
        <f>'1-Res_NonRes'!C30+'1-Res_NonRes'!C131</f>
        <v>2713</v>
      </c>
      <c r="D27" s="379">
        <f>'1-Res_NonRes'!D30+'1-Res_NonRes'!D131</f>
        <v>33129</v>
      </c>
      <c r="E27" s="379">
        <f t="shared" si="25"/>
        <v>2760.75</v>
      </c>
      <c r="F27" s="379">
        <f>'1-Res_NonRes'!F30+'1-Res_NonRes'!F131</f>
        <v>214</v>
      </c>
      <c r="G27" s="379">
        <f>'1-Res_NonRes'!G30+'1-Res_NonRes'!G131</f>
        <v>1288</v>
      </c>
      <c r="H27" s="379">
        <f t="shared" si="26"/>
        <v>143.11111111111111</v>
      </c>
      <c r="I27" s="379">
        <f>'1-Res_NonRes'!I30+'1-Res_NonRes'!I131</f>
        <v>107</v>
      </c>
      <c r="J27" s="379">
        <f>'1-Res_NonRes'!J30+'1-Res_NonRes'!J131</f>
        <v>770</v>
      </c>
      <c r="K27" s="419">
        <f t="shared" si="27"/>
        <v>64.166666666666671</v>
      </c>
      <c r="L27" s="379">
        <f t="shared" si="20"/>
        <v>3034</v>
      </c>
      <c r="M27" s="420">
        <f t="shared" si="21"/>
        <v>3.7974683544303799E-2</v>
      </c>
      <c r="N27" s="379">
        <f t="shared" si="22"/>
        <v>35187</v>
      </c>
      <c r="O27" s="420">
        <f t="shared" si="28"/>
        <v>4.5893648009987222E-2</v>
      </c>
      <c r="P27" s="380">
        <f t="shared" si="23"/>
        <v>2968.0277777777778</v>
      </c>
      <c r="Q27" s="421">
        <f t="shared" si="24"/>
        <v>4.4252890413502624E-2</v>
      </c>
    </row>
    <row r="28" spans="1:17" ht="13.5" hidden="1" thickBot="1" x14ac:dyDescent="0.25">
      <c r="A28" s="378" t="s">
        <v>47</v>
      </c>
      <c r="B28" s="379" t="s">
        <v>43</v>
      </c>
      <c r="C28" s="379">
        <f>'1-Res_NonRes'!C31+'1-Res_NonRes'!C132</f>
        <v>2630</v>
      </c>
      <c r="D28" s="379">
        <f>'1-Res_NonRes'!D31+'1-Res_NonRes'!D132</f>
        <v>31692</v>
      </c>
      <c r="E28" s="379">
        <f t="shared" si="25"/>
        <v>2641</v>
      </c>
      <c r="F28" s="379">
        <f>'1-Res_NonRes'!F31+'1-Res_NonRes'!F132</f>
        <v>225</v>
      </c>
      <c r="G28" s="379">
        <f>'1-Res_NonRes'!G31+'1-Res_NonRes'!G132</f>
        <v>1392</v>
      </c>
      <c r="H28" s="379">
        <f t="shared" si="26"/>
        <v>154.66666666666666</v>
      </c>
      <c r="I28" s="379">
        <f>'1-Res_NonRes'!I31+'1-Res_NonRes'!I132</f>
        <v>68</v>
      </c>
      <c r="J28" s="379">
        <f>'1-Res_NonRes'!J31+'1-Res_NonRes'!J132</f>
        <v>559</v>
      </c>
      <c r="K28" s="419">
        <f t="shared" si="27"/>
        <v>46.583333333333336</v>
      </c>
      <c r="L28" s="379">
        <f t="shared" si="20"/>
        <v>2923</v>
      </c>
      <c r="M28" s="420">
        <f t="shared" si="21"/>
        <v>-2.1753681392235609E-2</v>
      </c>
      <c r="N28" s="379">
        <f t="shared" si="22"/>
        <v>33643</v>
      </c>
      <c r="O28" s="420">
        <f t="shared" si="28"/>
        <v>-2.7996070726915522E-2</v>
      </c>
      <c r="P28" s="380">
        <f t="shared" si="23"/>
        <v>2842.25</v>
      </c>
      <c r="Q28" s="421">
        <f t="shared" si="24"/>
        <v>-3.045435163689773E-2</v>
      </c>
    </row>
    <row r="29" spans="1:17" ht="13.5" hidden="1" thickBot="1" x14ac:dyDescent="0.25">
      <c r="A29" s="382" t="s">
        <v>44</v>
      </c>
      <c r="B29" s="379" t="s">
        <v>29</v>
      </c>
      <c r="C29" s="379">
        <f>'1-Res_NonRes'!C32+'1-Res_NonRes'!C133</f>
        <v>2630</v>
      </c>
      <c r="D29" s="379">
        <f>'1-Res_NonRes'!D32+'1-Res_NonRes'!D133</f>
        <v>32159</v>
      </c>
      <c r="E29" s="379">
        <f t="shared" si="25"/>
        <v>2679.9166666666665</v>
      </c>
      <c r="F29" s="379">
        <f>'1-Res_NonRes'!F32+'1-Res_NonRes'!F133</f>
        <v>265</v>
      </c>
      <c r="G29" s="379">
        <f>'1-Res_NonRes'!G32+'1-Res_NonRes'!G133</f>
        <v>1699</v>
      </c>
      <c r="H29" s="379">
        <f t="shared" si="26"/>
        <v>188.77777777777777</v>
      </c>
      <c r="I29" s="379">
        <f>'1-Res_NonRes'!I32+'1-Res_NonRes'!I133</f>
        <v>93</v>
      </c>
      <c r="J29" s="379">
        <f>'1-Res_NonRes'!J32+'1-Res_NonRes'!J133</f>
        <v>754</v>
      </c>
      <c r="K29" s="419">
        <f t="shared" si="27"/>
        <v>62.833333333333336</v>
      </c>
      <c r="L29" s="379">
        <f t="shared" si="20"/>
        <v>2988</v>
      </c>
      <c r="M29" s="420">
        <f t="shared" si="21"/>
        <v>-5.9786028949024544E-2</v>
      </c>
      <c r="N29" s="379">
        <f t="shared" si="22"/>
        <v>34612</v>
      </c>
      <c r="O29" s="420">
        <f t="shared" si="28"/>
        <v>-1.0661712162355294E-2</v>
      </c>
      <c r="P29" s="380">
        <f t="shared" si="23"/>
        <v>2931.5277777777778</v>
      </c>
      <c r="Q29" s="421">
        <f t="shared" si="24"/>
        <v>-1.5926447413817185E-2</v>
      </c>
    </row>
    <row r="30" spans="1:17" ht="13.5" hidden="1" thickBot="1" x14ac:dyDescent="0.25">
      <c r="A30" s="378" t="s">
        <v>37</v>
      </c>
      <c r="B30" s="379" t="s">
        <v>29</v>
      </c>
      <c r="C30" s="379">
        <f>'1-Res_NonRes'!C33+'1-Res_NonRes'!C134</f>
        <v>2647</v>
      </c>
      <c r="D30" s="379">
        <f>'1-Res_NonRes'!D33+'1-Res_NonRes'!D134</f>
        <v>31975</v>
      </c>
      <c r="E30" s="379">
        <f t="shared" si="25"/>
        <v>2664.5833333333335</v>
      </c>
      <c r="F30" s="379">
        <f>'1-Res_NonRes'!F33+'1-Res_NonRes'!F134</f>
        <v>443</v>
      </c>
      <c r="G30" s="379">
        <f>'1-Res_NonRes'!G33+'1-Res_NonRes'!G134</f>
        <v>2288</v>
      </c>
      <c r="H30" s="379">
        <f t="shared" si="26"/>
        <v>254.22222222222223</v>
      </c>
      <c r="I30" s="379">
        <f>'1-Res_NonRes'!I33+'1-Res_NonRes'!I134</f>
        <v>88</v>
      </c>
      <c r="J30" s="379">
        <f>'1-Res_NonRes'!J33+'1-Res_NonRes'!J134</f>
        <v>722</v>
      </c>
      <c r="K30" s="419">
        <f t="shared" si="27"/>
        <v>60.166666666666664</v>
      </c>
      <c r="L30" s="379">
        <f t="shared" si="20"/>
        <v>3178</v>
      </c>
      <c r="M30" s="420">
        <f t="shared" si="21"/>
        <v>1.6959999999999999E-2</v>
      </c>
      <c r="N30" s="379">
        <f t="shared" si="22"/>
        <v>34985</v>
      </c>
      <c r="O30" s="420">
        <f t="shared" si="28"/>
        <v>-2.5596033868092692E-2</v>
      </c>
      <c r="P30" s="380">
        <f t="shared" si="23"/>
        <v>2978.9722222222222</v>
      </c>
      <c r="Q30" s="421">
        <f t="shared" si="24"/>
        <v>-2.1344746399956181E-2</v>
      </c>
    </row>
    <row r="31" spans="1:17" hidden="1" x14ac:dyDescent="0.2">
      <c r="A31" s="382" t="s">
        <v>26</v>
      </c>
      <c r="B31" s="379" t="s">
        <v>1428</v>
      </c>
      <c r="C31" s="379">
        <f>+'1-Res_NonRes'!C34+'1-Res_NonRes'!C135</f>
        <v>2697</v>
      </c>
      <c r="D31" s="379">
        <f>+'1-Res_NonRes'!D34+'1-Res_NonRes'!D135</f>
        <v>33270</v>
      </c>
      <c r="E31" s="379">
        <f>+D31/12</f>
        <v>2772.5</v>
      </c>
      <c r="F31" s="379">
        <f>+'1-Res_NonRes'!F34+'1-Res_NonRes'!F135</f>
        <v>319</v>
      </c>
      <c r="G31" s="379">
        <f>+'1-Res_NonRes'!G34+'1-Res_NonRes'!G135</f>
        <v>1870</v>
      </c>
      <c r="H31" s="379">
        <f>+G31/9</f>
        <v>207.77777777777777</v>
      </c>
      <c r="I31" s="379">
        <f>+'1-Res_NonRes'!I34+'1-Res_NonRes'!I135</f>
        <v>109</v>
      </c>
      <c r="J31" s="379">
        <f>+'1-Res_NonRes'!J34+'1-Res_NonRes'!J135</f>
        <v>764</v>
      </c>
      <c r="K31" s="419">
        <f>+J31/12</f>
        <v>63.666666666666664</v>
      </c>
      <c r="L31" s="379">
        <f>+C31+F31+I31</f>
        <v>3125</v>
      </c>
      <c r="M31" s="420">
        <f t="shared" si="21"/>
        <v>-9.5251881876085701E-2</v>
      </c>
      <c r="N31" s="379">
        <f>+D31+G31+J31</f>
        <v>35904</v>
      </c>
      <c r="O31" s="420">
        <f t="shared" si="28"/>
        <v>-9.8478380957163658E-2</v>
      </c>
      <c r="P31" s="380">
        <f>+E31+H31+K31</f>
        <v>3043.9444444444443</v>
      </c>
      <c r="Q31" s="421">
        <f t="shared" si="24"/>
        <v>-9.8379943886324622E-2</v>
      </c>
    </row>
    <row r="32" spans="1:17" hidden="1" x14ac:dyDescent="0.2">
      <c r="A32" s="382" t="s">
        <v>28</v>
      </c>
      <c r="B32" s="379" t="s">
        <v>29</v>
      </c>
      <c r="C32" s="379">
        <f>+'1-Res_NonRes'!C35+'1-Res_NonRes'!C136</f>
        <v>2985</v>
      </c>
      <c r="D32" s="379">
        <f>+'1-Res_NonRes'!D35+'1-Res_NonRes'!D136</f>
        <v>37026</v>
      </c>
      <c r="E32" s="379">
        <f>D32/12</f>
        <v>3085.5</v>
      </c>
      <c r="F32" s="379">
        <f>+'1-Res_NonRes'!F35+'1-Res_NonRes'!F136</f>
        <v>365</v>
      </c>
      <c r="G32" s="379">
        <f>+'1-Res_NonRes'!G35+'1-Res_NonRes'!G136</f>
        <v>2061</v>
      </c>
      <c r="H32" s="379">
        <f>G32/9</f>
        <v>229</v>
      </c>
      <c r="I32" s="379">
        <f>+'1-Res_NonRes'!I35+'1-Res_NonRes'!I136</f>
        <v>104</v>
      </c>
      <c r="J32" s="379">
        <f>+'1-Res_NonRes'!J35+'1-Res_NonRes'!J136</f>
        <v>739</v>
      </c>
      <c r="K32" s="419">
        <f>J32/12</f>
        <v>61.583333333333336</v>
      </c>
      <c r="L32" s="379">
        <f>+C32+F32+I32</f>
        <v>3454</v>
      </c>
      <c r="M32" s="420" t="e">
        <f t="shared" si="21"/>
        <v>#REF!</v>
      </c>
      <c r="N32" s="379">
        <f>+D32+G32+J32</f>
        <v>39826</v>
      </c>
      <c r="O32" s="420" t="e">
        <f t="shared" si="28"/>
        <v>#REF!</v>
      </c>
      <c r="P32" s="380">
        <f>+E32+H32+K32</f>
        <v>3376.0833333333335</v>
      </c>
      <c r="Q32" s="421" t="e">
        <f t="shared" si="24"/>
        <v>#REF!</v>
      </c>
    </row>
    <row r="33" spans="1:17" hidden="1" x14ac:dyDescent="0.2">
      <c r="A33" s="382" t="s">
        <v>30</v>
      </c>
      <c r="B33" s="379" t="s">
        <v>29</v>
      </c>
      <c r="C33" s="379" t="e">
        <f>+'1-Res_NonRes'!#REF!+'1-Res_NonRes'!#REF!</f>
        <v>#REF!</v>
      </c>
      <c r="D33" s="379" t="e">
        <f>+'1-Res_NonRes'!#REF!+'1-Res_NonRes'!#REF!</f>
        <v>#REF!</v>
      </c>
      <c r="E33" s="379" t="e">
        <f>D33/12</f>
        <v>#REF!</v>
      </c>
      <c r="F33" s="379" t="e">
        <f>+'1-Res_NonRes'!#REF!+'1-Res_NonRes'!#REF!</f>
        <v>#REF!</v>
      </c>
      <c r="G33" s="379" t="e">
        <f>+'1-Res_NonRes'!#REF!+'1-Res_NonRes'!#REF!</f>
        <v>#REF!</v>
      </c>
      <c r="H33" s="379" t="e">
        <f>G33/9</f>
        <v>#REF!</v>
      </c>
      <c r="I33" s="379" t="e">
        <f>+'1-Res_NonRes'!#REF!+'1-Res_NonRes'!#REF!</f>
        <v>#REF!</v>
      </c>
      <c r="J33" s="379" t="e">
        <f>+'1-Res_NonRes'!#REF!+'1-Res_NonRes'!#REF!</f>
        <v>#REF!</v>
      </c>
      <c r="K33" s="419" t="e">
        <f>J33/12</f>
        <v>#REF!</v>
      </c>
      <c r="L33" s="379" t="e">
        <f>+C33+F33+I33</f>
        <v>#REF!</v>
      </c>
      <c r="M33" s="419"/>
      <c r="N33" s="379" t="e">
        <f>+D33+G33+J33</f>
        <v>#REF!</v>
      </c>
      <c r="O33" s="419"/>
      <c r="P33" s="380" t="e">
        <f>+E33+H33+K33</f>
        <v>#REF!</v>
      </c>
      <c r="Q33" s="422"/>
    </row>
    <row r="34" spans="1:17" ht="13.5" hidden="1" thickBot="1" x14ac:dyDescent="0.25">
      <c r="A34" s="382"/>
      <c r="B34" s="379"/>
      <c r="C34" s="379"/>
      <c r="D34" s="379"/>
      <c r="E34" s="379"/>
      <c r="F34" s="379"/>
      <c r="G34" s="379"/>
      <c r="H34" s="379"/>
      <c r="I34" s="379"/>
      <c r="J34" s="379"/>
      <c r="K34" s="419"/>
      <c r="L34" s="379"/>
      <c r="M34" s="419"/>
      <c r="N34" s="379"/>
      <c r="O34" s="419"/>
      <c r="P34" s="380"/>
      <c r="Q34" s="422"/>
    </row>
    <row r="35" spans="1:17" ht="15" customHeight="1" thickBot="1" x14ac:dyDescent="0.25">
      <c r="A35" s="423" t="s">
        <v>644</v>
      </c>
      <c r="B35" s="409"/>
      <c r="C35" s="409"/>
      <c r="D35" s="409"/>
      <c r="E35" s="409"/>
      <c r="F35" s="409"/>
      <c r="G35" s="409"/>
      <c r="H35" s="409"/>
      <c r="I35" s="409"/>
      <c r="J35" s="409"/>
      <c r="K35" s="424"/>
      <c r="L35" s="409"/>
      <c r="M35" s="424"/>
      <c r="N35" s="409"/>
      <c r="O35" s="424"/>
      <c r="P35" s="411"/>
      <c r="Q35" s="412"/>
    </row>
    <row r="36" spans="1:17" ht="15" customHeight="1" x14ac:dyDescent="0.2">
      <c r="A36" s="378" t="s">
        <v>1434</v>
      </c>
      <c r="B36" s="379"/>
      <c r="C36" s="379">
        <f>+'1-Res_NonRes'!C45+'1-Res_NonRes'!C146</f>
        <v>2530</v>
      </c>
      <c r="D36" s="379">
        <f>+'1-Res_NonRes'!D45+'1-Res_NonRes'!D146</f>
        <v>30758</v>
      </c>
      <c r="E36" s="379">
        <f>+D36/12</f>
        <v>2563.1666666666665</v>
      </c>
      <c r="F36" s="379">
        <f>+'1-Res_NonRes'!F45+'1-Res_NonRes'!F146</f>
        <v>293</v>
      </c>
      <c r="G36" s="379">
        <f>+'1-Res_NonRes'!G45+'1-Res_NonRes'!G146</f>
        <v>1784</v>
      </c>
      <c r="H36" s="379">
        <f>+G36/9</f>
        <v>198.22222222222223</v>
      </c>
      <c r="I36" s="379">
        <f>+'1-Res_NonRes'!I45+'1-Res_NonRes'!I146</f>
        <v>41</v>
      </c>
      <c r="J36" s="379">
        <f>+'1-Res_NonRes'!J45+'1-Res_NonRes'!J146</f>
        <v>248</v>
      </c>
      <c r="K36" s="419">
        <f>J36/12</f>
        <v>20.666666666666668</v>
      </c>
      <c r="L36" s="379">
        <f t="shared" ref="L36" si="29">+C36+F36+I36</f>
        <v>2864</v>
      </c>
      <c r="M36" s="420">
        <f t="shared" ref="M36:M41" si="30">(L36-L37)/L37</f>
        <v>-6.3133791298658815E-2</v>
      </c>
      <c r="N36" s="379">
        <f t="shared" ref="N36:N41" si="31">+D36+G36+J36</f>
        <v>32790</v>
      </c>
      <c r="O36" s="420">
        <f t="shared" ref="O36:O41" si="32">(N36-N37)/N37</f>
        <v>-8.7010998190171232E-2</v>
      </c>
      <c r="P36" s="379">
        <f t="shared" ref="P36:P41" si="33">+E36+H36+K36</f>
        <v>2782.0555555555552</v>
      </c>
      <c r="Q36" s="425">
        <f t="shared" ref="Q36:Q41" si="34">(P36-P37)/P37</f>
        <v>-8.7775865052691276E-2</v>
      </c>
    </row>
    <row r="37" spans="1:17" ht="15" customHeight="1" x14ac:dyDescent="0.2">
      <c r="A37" s="378" t="s">
        <v>356</v>
      </c>
      <c r="B37" s="379"/>
      <c r="C37" s="379">
        <f>+'1-Res_NonRes'!C46+'1-Res_NonRes'!C147</f>
        <v>2723</v>
      </c>
      <c r="D37" s="379">
        <f>+'1-Res_NonRes'!D46+'1-Res_NonRes'!D147</f>
        <v>33712</v>
      </c>
      <c r="E37" s="379">
        <f>+D37/12</f>
        <v>2809.3333333333335</v>
      </c>
      <c r="F37" s="379">
        <f>+'1-Res_NonRes'!F46+'1-Res_NonRes'!F147</f>
        <v>304</v>
      </c>
      <c r="G37" s="379">
        <f>+'1-Res_NonRes'!G46+'1-Res_NonRes'!G147</f>
        <v>2046</v>
      </c>
      <c r="H37" s="379">
        <f>+G37/9</f>
        <v>227.33333333333334</v>
      </c>
      <c r="I37" s="379">
        <f>+'1-Res_NonRes'!I46+'1-Res_NonRes'!I147</f>
        <v>30</v>
      </c>
      <c r="J37" s="379">
        <f>+'1-Res_NonRes'!J46+'1-Res_NonRes'!J147</f>
        <v>157</v>
      </c>
      <c r="K37" s="419">
        <f>J37/12</f>
        <v>13.083333333333334</v>
      </c>
      <c r="L37" s="379">
        <f t="shared" ref="L37" si="35">+C37+F37+I37</f>
        <v>3057</v>
      </c>
      <c r="M37" s="420">
        <f t="shared" si="30"/>
        <v>-6.5709046454767731E-2</v>
      </c>
      <c r="N37" s="379">
        <f t="shared" si="31"/>
        <v>35915</v>
      </c>
      <c r="O37" s="420">
        <f t="shared" si="32"/>
        <v>-9.8767910466487668E-2</v>
      </c>
      <c r="P37" s="379">
        <f t="shared" si="33"/>
        <v>3049.7500000000005</v>
      </c>
      <c r="Q37" s="425">
        <f t="shared" si="34"/>
        <v>-9.8781038374717592E-2</v>
      </c>
    </row>
    <row r="38" spans="1:17" ht="15" customHeight="1" x14ac:dyDescent="0.2">
      <c r="A38" s="378" t="s">
        <v>339</v>
      </c>
      <c r="B38" s="379"/>
      <c r="C38" s="379">
        <f>+'1-Res_NonRes'!C47+'1-Res_NonRes'!C148</f>
        <v>2930</v>
      </c>
      <c r="D38" s="379">
        <f>+'1-Res_NonRes'!D47+'1-Res_NonRes'!D148</f>
        <v>37361</v>
      </c>
      <c r="E38" s="379">
        <f>+D38/12</f>
        <v>3113.4166666666665</v>
      </c>
      <c r="F38" s="379">
        <f>+'1-Res_NonRes'!F47+'1-Res_NonRes'!F148</f>
        <v>307</v>
      </c>
      <c r="G38" s="379">
        <f>+'1-Res_NonRes'!G47+'1-Res_NonRes'!G148</f>
        <v>2272</v>
      </c>
      <c r="H38" s="379">
        <f>+G38/9</f>
        <v>252.44444444444446</v>
      </c>
      <c r="I38" s="379">
        <f>+'1-Res_NonRes'!I47+'1-Res_NonRes'!I148</f>
        <v>35</v>
      </c>
      <c r="J38" s="379">
        <f>+'1-Res_NonRes'!J47+'1-Res_NonRes'!J148</f>
        <v>218</v>
      </c>
      <c r="K38" s="419">
        <f>J38/12</f>
        <v>18.166666666666668</v>
      </c>
      <c r="L38" s="379">
        <f t="shared" ref="L38" si="36">+C38+F38+I38</f>
        <v>3272</v>
      </c>
      <c r="M38" s="420">
        <f t="shared" si="30"/>
        <v>-6.5409882890602691E-2</v>
      </c>
      <c r="N38" s="379">
        <f t="shared" si="31"/>
        <v>39851</v>
      </c>
      <c r="O38" s="420">
        <f t="shared" si="32"/>
        <v>-4.5896380003830686E-2</v>
      </c>
      <c r="P38" s="380">
        <f t="shared" si="33"/>
        <v>3384.0277777777774</v>
      </c>
      <c r="Q38" s="421">
        <f t="shared" si="34"/>
        <v>-4.7110631374757558E-2</v>
      </c>
    </row>
    <row r="39" spans="1:17" ht="15" customHeight="1" x14ac:dyDescent="0.2">
      <c r="A39" s="378" t="s">
        <v>303</v>
      </c>
      <c r="B39" s="379"/>
      <c r="C39" s="379">
        <f>+'1-Res_NonRes'!C48+'1-Res_NonRes'!C149</f>
        <v>3105</v>
      </c>
      <c r="D39" s="379">
        <f>+'1-Res_NonRes'!D48+'1-Res_NonRes'!D149</f>
        <v>38976</v>
      </c>
      <c r="E39" s="379">
        <f>+D39/12</f>
        <v>3248</v>
      </c>
      <c r="F39" s="379">
        <f>+'1-Res_NonRes'!F48+'1-Res_NonRes'!F149</f>
        <v>351</v>
      </c>
      <c r="G39" s="379">
        <f>+'1-Res_NonRes'!G48+'1-Res_NonRes'!G149</f>
        <v>2544</v>
      </c>
      <c r="H39" s="379">
        <f>+G39/9</f>
        <v>282.66666666666669</v>
      </c>
      <c r="I39" s="379">
        <f>+'1-Res_NonRes'!I48+'1-Res_NonRes'!I149</f>
        <v>45</v>
      </c>
      <c r="J39" s="379">
        <f>+'1-Res_NonRes'!J48+'1-Res_NonRes'!J149</f>
        <v>248</v>
      </c>
      <c r="K39" s="419">
        <f>J39/12</f>
        <v>20.666666666666668</v>
      </c>
      <c r="L39" s="379">
        <f t="shared" ref="L39" si="37">+C39+F39+I39</f>
        <v>3501</v>
      </c>
      <c r="M39" s="420">
        <f t="shared" si="30"/>
        <v>-1.2968705948689032E-2</v>
      </c>
      <c r="N39" s="379">
        <f t="shared" si="31"/>
        <v>41768</v>
      </c>
      <c r="O39" s="420">
        <f t="shared" si="32"/>
        <v>-2.2879333738829364E-2</v>
      </c>
      <c r="P39" s="380">
        <f t="shared" si="33"/>
        <v>3551.333333333333</v>
      </c>
      <c r="Q39" s="421">
        <f t="shared" si="34"/>
        <v>-1.8900936989202959E-2</v>
      </c>
    </row>
    <row r="40" spans="1:17" ht="15" customHeight="1" x14ac:dyDescent="0.2">
      <c r="A40" s="378" t="s">
        <v>292</v>
      </c>
      <c r="B40" s="379"/>
      <c r="C40" s="379">
        <f>+'1-Res_NonRes'!C49+'1-Res_NonRes'!C150</f>
        <v>3218</v>
      </c>
      <c r="D40" s="379">
        <f>+'1-Res_NonRes'!D49+'1-Res_NonRes'!D150</f>
        <v>40501</v>
      </c>
      <c r="E40" s="379">
        <f>+D40/12</f>
        <v>3375.0833333333335</v>
      </c>
      <c r="F40" s="379">
        <f>+'1-Res_NonRes'!F49+'1-Res_NonRes'!F150</f>
        <v>294</v>
      </c>
      <c r="G40" s="379">
        <f>+'1-Res_NonRes'!G49+'1-Res_NonRes'!G150</f>
        <v>2073</v>
      </c>
      <c r="H40" s="379">
        <f>+G40/9</f>
        <v>230.33333333333334</v>
      </c>
      <c r="I40" s="379">
        <f>+'1-Res_NonRes'!I49+'1-Res_NonRes'!I150</f>
        <v>35</v>
      </c>
      <c r="J40" s="379">
        <f>+'1-Res_NonRes'!J49+'1-Res_NonRes'!J150</f>
        <v>172</v>
      </c>
      <c r="K40" s="419">
        <f>J40/12</f>
        <v>14.333333333333334</v>
      </c>
      <c r="L40" s="379">
        <f t="shared" ref="L40:L46" si="38">+C40+F40+I40</f>
        <v>3547</v>
      </c>
      <c r="M40" s="420">
        <f t="shared" si="30"/>
        <v>-3.456722917800762E-2</v>
      </c>
      <c r="N40" s="379">
        <f t="shared" si="31"/>
        <v>42746</v>
      </c>
      <c r="O40" s="420">
        <f t="shared" si="32"/>
        <v>-3.531854392814425E-2</v>
      </c>
      <c r="P40" s="380">
        <f t="shared" si="33"/>
        <v>3619.7500000000005</v>
      </c>
      <c r="Q40" s="421">
        <f t="shared" si="34"/>
        <v>-3.5904530792222569E-2</v>
      </c>
    </row>
    <row r="41" spans="1:17" x14ac:dyDescent="0.2">
      <c r="A41" s="378" t="s">
        <v>275</v>
      </c>
      <c r="B41" s="379"/>
      <c r="C41" s="379">
        <f>+'1-Res_NonRes'!C50+'1-Res_NonRes'!C151</f>
        <v>3329</v>
      </c>
      <c r="D41" s="379">
        <f>+'1-Res_NonRes'!D50+'1-Res_NonRes'!D151</f>
        <v>41831</v>
      </c>
      <c r="E41" s="379">
        <f t="shared" ref="E41:E46" si="39">+D41/12</f>
        <v>3485.9166666666665</v>
      </c>
      <c r="F41" s="379">
        <f>+'1-Res_NonRes'!F50+'1-Res_NonRes'!F151</f>
        <v>305</v>
      </c>
      <c r="G41" s="379">
        <f>+'1-Res_NonRes'!G50+'1-Res_NonRes'!G151</f>
        <v>2231</v>
      </c>
      <c r="H41" s="379">
        <f t="shared" ref="H41:H46" si="40">+G41/9</f>
        <v>247.88888888888889</v>
      </c>
      <c r="I41" s="379">
        <f>+'1-Res_NonRes'!I50+'1-Res_NonRes'!I151</f>
        <v>40</v>
      </c>
      <c r="J41" s="379">
        <f>+'1-Res_NonRes'!J50+'1-Res_NonRes'!J151</f>
        <v>249</v>
      </c>
      <c r="K41" s="419">
        <f t="shared" ref="K41:K46" si="41">J41/12</f>
        <v>20.75</v>
      </c>
      <c r="L41" s="379">
        <f t="shared" si="38"/>
        <v>3674</v>
      </c>
      <c r="M41" s="420">
        <f t="shared" si="30"/>
        <v>-1.359064963305246E-3</v>
      </c>
      <c r="N41" s="379">
        <f t="shared" si="31"/>
        <v>44311</v>
      </c>
      <c r="O41" s="420">
        <f t="shared" si="32"/>
        <v>1.2637689108277344E-2</v>
      </c>
      <c r="P41" s="380">
        <f t="shared" si="33"/>
        <v>3754.5555555555552</v>
      </c>
      <c r="Q41" s="421">
        <f t="shared" si="34"/>
        <v>1.3770550822032757E-2</v>
      </c>
    </row>
    <row r="42" spans="1:17" x14ac:dyDescent="0.2">
      <c r="A42" s="378" t="s">
        <v>210</v>
      </c>
      <c r="B42" s="379"/>
      <c r="C42" s="379">
        <f>+'1-Res_NonRes'!C51+'1-Res_NonRes'!C152</f>
        <v>3379</v>
      </c>
      <c r="D42" s="379">
        <f>+'1-Res_NonRes'!D51+'1-Res_NonRes'!D152</f>
        <v>41425</v>
      </c>
      <c r="E42" s="379">
        <f t="shared" si="39"/>
        <v>3452.0833333333335</v>
      </c>
      <c r="F42" s="379">
        <f>+'1-Res_NonRes'!F51+'1-Res_NonRes'!F152</f>
        <v>262</v>
      </c>
      <c r="G42" s="379">
        <f>+'1-Res_NonRes'!G51+'1-Res_NonRes'!G152</f>
        <v>2054</v>
      </c>
      <c r="H42" s="379">
        <f t="shared" si="40"/>
        <v>228.22222222222223</v>
      </c>
      <c r="I42" s="379">
        <f>+'1-Res_NonRes'!I51+'1-Res_NonRes'!I152</f>
        <v>38</v>
      </c>
      <c r="J42" s="379">
        <f>+'1-Res_NonRes'!J51+'1-Res_NonRes'!J152</f>
        <v>279</v>
      </c>
      <c r="K42" s="419">
        <f t="shared" si="41"/>
        <v>23.25</v>
      </c>
      <c r="L42" s="379">
        <f t="shared" si="38"/>
        <v>3679</v>
      </c>
      <c r="M42" s="420">
        <f t="shared" ref="M42:M47" si="42">(L42-L43)/L43</f>
        <v>-1.8933333333333333E-2</v>
      </c>
      <c r="N42" s="379">
        <f t="shared" ref="N42:N47" si="43">+D42+G42+J42</f>
        <v>43758</v>
      </c>
      <c r="O42" s="420">
        <f t="shared" ref="O42:O47" si="44">(N42-N43)/N43</f>
        <v>-1.4370664023785926E-2</v>
      </c>
      <c r="P42" s="380">
        <f t="shared" ref="P42:P47" si="45">+E42+H42+K42</f>
        <v>3703.5555555555557</v>
      </c>
      <c r="Q42" s="421">
        <f t="shared" ref="Q42:Q47" si="46">(P42-P43)/P43</f>
        <v>-1.5295533940427814E-2</v>
      </c>
    </row>
    <row r="43" spans="1:17" x14ac:dyDescent="0.2">
      <c r="A43" s="378" t="s">
        <v>206</v>
      </c>
      <c r="B43" s="379"/>
      <c r="C43" s="379">
        <f>+'1-Res_NonRes'!C52+'1-Res_NonRes'!C153</f>
        <v>3402</v>
      </c>
      <c r="D43" s="379">
        <f>+'1-Res_NonRes'!D52+'1-Res_NonRes'!D153</f>
        <v>41810</v>
      </c>
      <c r="E43" s="379">
        <f t="shared" si="39"/>
        <v>3484.1666666666665</v>
      </c>
      <c r="F43" s="379">
        <f>+'1-Res_NonRes'!F52+'1-Res_NonRes'!F153</f>
        <v>291</v>
      </c>
      <c r="G43" s="379">
        <f>+'1-Res_NonRes'!G52+'1-Res_NonRes'!G153</f>
        <v>2211</v>
      </c>
      <c r="H43" s="379">
        <f t="shared" si="40"/>
        <v>245.66666666666666</v>
      </c>
      <c r="I43" s="379">
        <f>+'1-Res_NonRes'!I52+'1-Res_NonRes'!I153</f>
        <v>57</v>
      </c>
      <c r="J43" s="379">
        <f>+'1-Res_NonRes'!J52+'1-Res_NonRes'!J153</f>
        <v>375</v>
      </c>
      <c r="K43" s="419">
        <f t="shared" si="41"/>
        <v>31.25</v>
      </c>
      <c r="L43" s="379">
        <f t="shared" si="38"/>
        <v>3750</v>
      </c>
      <c r="M43" s="420">
        <f t="shared" si="42"/>
        <v>3.3627342888643878E-2</v>
      </c>
      <c r="N43" s="379">
        <f t="shared" si="43"/>
        <v>44396</v>
      </c>
      <c r="O43" s="420">
        <f t="shared" si="44"/>
        <v>2.6425912653457565E-2</v>
      </c>
      <c r="P43" s="380">
        <f t="shared" si="45"/>
        <v>3761.083333333333</v>
      </c>
      <c r="Q43" s="421">
        <f t="shared" si="46"/>
        <v>2.5749999999999832E-2</v>
      </c>
    </row>
    <row r="44" spans="1:17" x14ac:dyDescent="0.2">
      <c r="A44" s="378" t="s">
        <v>186</v>
      </c>
      <c r="B44" s="379"/>
      <c r="C44" s="379">
        <f>+'1-Res_NonRes'!C53+'1-Res_NonRes'!C154</f>
        <v>3297</v>
      </c>
      <c r="D44" s="379">
        <f>+'1-Res_NonRes'!D53+'1-Res_NonRes'!D154</f>
        <v>40717</v>
      </c>
      <c r="E44" s="379">
        <f t="shared" si="39"/>
        <v>3393.0833333333335</v>
      </c>
      <c r="F44" s="379">
        <f>+'1-Res_NonRes'!F53+'1-Res_NonRes'!F154</f>
        <v>287</v>
      </c>
      <c r="G44" s="379">
        <f>+'1-Res_NonRes'!G53+'1-Res_NonRes'!G154</f>
        <v>2241</v>
      </c>
      <c r="H44" s="379">
        <f t="shared" si="40"/>
        <v>249</v>
      </c>
      <c r="I44" s="379">
        <f>+'1-Res_NonRes'!I53+'1-Res_NonRes'!I154</f>
        <v>44</v>
      </c>
      <c r="J44" s="379">
        <f>+'1-Res_NonRes'!J53+'1-Res_NonRes'!J154</f>
        <v>295</v>
      </c>
      <c r="K44" s="419">
        <f t="shared" si="41"/>
        <v>24.583333333333332</v>
      </c>
      <c r="L44" s="379">
        <f t="shared" si="38"/>
        <v>3628</v>
      </c>
      <c r="M44" s="420">
        <f t="shared" si="42"/>
        <v>3.2735553657842302E-2</v>
      </c>
      <c r="N44" s="379">
        <f t="shared" si="43"/>
        <v>43253</v>
      </c>
      <c r="O44" s="420">
        <f t="shared" si="44"/>
        <v>5.0697177282223192E-2</v>
      </c>
      <c r="P44" s="380">
        <f t="shared" si="45"/>
        <v>3666.666666666667</v>
      </c>
      <c r="Q44" s="421">
        <f t="shared" si="46"/>
        <v>5.0395091790207541E-2</v>
      </c>
    </row>
    <row r="45" spans="1:17" x14ac:dyDescent="0.2">
      <c r="A45" s="378" t="s">
        <v>166</v>
      </c>
      <c r="B45" s="379"/>
      <c r="C45" s="379">
        <f>+'1-Res_NonRes'!C54+'1-Res_NonRes'!C155</f>
        <v>3156</v>
      </c>
      <c r="D45" s="379">
        <f>+'1-Res_NonRes'!D54+'1-Res_NonRes'!D155</f>
        <v>38652</v>
      </c>
      <c r="E45" s="379">
        <f t="shared" si="39"/>
        <v>3221</v>
      </c>
      <c r="F45" s="379">
        <f>+'1-Res_NonRes'!F54+'1-Res_NonRes'!F155</f>
        <v>310</v>
      </c>
      <c r="G45" s="379">
        <f>+'1-Res_NonRes'!G54+'1-Res_NonRes'!G155</f>
        <v>2169</v>
      </c>
      <c r="H45" s="379">
        <f t="shared" si="40"/>
        <v>241</v>
      </c>
      <c r="I45" s="379">
        <f>+'1-Res_NonRes'!I54+'1-Res_NonRes'!I155</f>
        <v>47</v>
      </c>
      <c r="J45" s="379">
        <f>+'1-Res_NonRes'!J54+'1-Res_NonRes'!J155</f>
        <v>345</v>
      </c>
      <c r="K45" s="419">
        <f t="shared" si="41"/>
        <v>28.75</v>
      </c>
      <c r="L45" s="379">
        <f t="shared" si="38"/>
        <v>3513</v>
      </c>
      <c r="M45" s="420">
        <f t="shared" si="42"/>
        <v>-4.8158640226628894E-3</v>
      </c>
      <c r="N45" s="379">
        <f t="shared" si="43"/>
        <v>41166</v>
      </c>
      <c r="O45" s="420">
        <f t="shared" si="44"/>
        <v>-8.0003855607499157E-3</v>
      </c>
      <c r="P45" s="380">
        <f t="shared" si="45"/>
        <v>3490.75</v>
      </c>
      <c r="Q45" s="421">
        <f t="shared" si="46"/>
        <v>-1.0659654702765741E-2</v>
      </c>
    </row>
    <row r="46" spans="1:17" x14ac:dyDescent="0.2">
      <c r="A46" s="378" t="s">
        <v>154</v>
      </c>
      <c r="B46" s="379"/>
      <c r="C46" s="379">
        <f>+'1-Res_NonRes'!C55+'1-Res_NonRes'!C156</f>
        <v>3173</v>
      </c>
      <c r="D46" s="379">
        <f>+'1-Res_NonRes'!D55+'1-Res_NonRes'!D156</f>
        <v>38724</v>
      </c>
      <c r="E46" s="379">
        <f t="shared" si="39"/>
        <v>3227</v>
      </c>
      <c r="F46" s="379">
        <f>+'1-Res_NonRes'!F55+'1-Res_NonRes'!F156</f>
        <v>315</v>
      </c>
      <c r="G46" s="379">
        <f>+'1-Res_NonRes'!G55+'1-Res_NonRes'!G156</f>
        <v>2527</v>
      </c>
      <c r="H46" s="379">
        <f t="shared" si="40"/>
        <v>280.77777777777777</v>
      </c>
      <c r="I46" s="379">
        <f>+'1-Res_NonRes'!I55+'1-Res_NonRes'!I156</f>
        <v>42</v>
      </c>
      <c r="J46" s="379">
        <f>+'1-Res_NonRes'!J55+'1-Res_NonRes'!J156</f>
        <v>247</v>
      </c>
      <c r="K46" s="419">
        <f t="shared" si="41"/>
        <v>20.583333333333332</v>
      </c>
      <c r="L46" s="379">
        <f t="shared" si="38"/>
        <v>3530</v>
      </c>
      <c r="M46" s="420">
        <f t="shared" si="42"/>
        <v>-1.6968325791855204E-3</v>
      </c>
      <c r="N46" s="379">
        <f t="shared" si="43"/>
        <v>41498</v>
      </c>
      <c r="O46" s="420">
        <f t="shared" si="44"/>
        <v>1.0593478313810486E-2</v>
      </c>
      <c r="P46" s="380">
        <f t="shared" si="45"/>
        <v>3528.3611111111113</v>
      </c>
      <c r="Q46" s="421">
        <f t="shared" si="46"/>
        <v>6.178658280590517E-3</v>
      </c>
    </row>
    <row r="47" spans="1:17" x14ac:dyDescent="0.2">
      <c r="A47" s="378" t="s">
        <v>120</v>
      </c>
      <c r="B47" s="379"/>
      <c r="C47" s="379">
        <f>+'1-Res_NonRes'!C56+'1-Res_NonRes'!C157</f>
        <v>3104</v>
      </c>
      <c r="D47" s="379">
        <f>+'1-Res_NonRes'!D56+'1-Res_NonRes'!D157</f>
        <v>37718</v>
      </c>
      <c r="E47" s="379">
        <f t="shared" ref="E47:E57" si="47">+D47/12</f>
        <v>3143.1666666666665</v>
      </c>
      <c r="F47" s="379">
        <f>+'1-Res_NonRes'!F56+'1-Res_NonRes'!F157</f>
        <v>378</v>
      </c>
      <c r="G47" s="379">
        <f>+'1-Res_NonRes'!G56+'1-Res_NonRes'!G157</f>
        <v>3052</v>
      </c>
      <c r="H47" s="379">
        <f t="shared" ref="H47:H57" si="48">+G47/9</f>
        <v>339.11111111111109</v>
      </c>
      <c r="I47" s="379">
        <f>+'1-Res_NonRes'!I56+'1-Res_NonRes'!I157</f>
        <v>54</v>
      </c>
      <c r="J47" s="379">
        <f>+'1-Res_NonRes'!J56+'1-Res_NonRes'!J157</f>
        <v>293</v>
      </c>
      <c r="K47" s="419">
        <f t="shared" ref="K47:K55" si="49">J47/12</f>
        <v>24.416666666666668</v>
      </c>
      <c r="L47" s="379">
        <f t="shared" ref="L47:L52" si="50">+C47+F47+I47</f>
        <v>3536</v>
      </c>
      <c r="M47" s="420">
        <f t="shared" si="42"/>
        <v>3.2710280373831772E-2</v>
      </c>
      <c r="N47" s="379">
        <f t="shared" si="43"/>
        <v>41063</v>
      </c>
      <c r="O47" s="420">
        <f t="shared" si="44"/>
        <v>4.1335936905637409E-2</v>
      </c>
      <c r="P47" s="380">
        <f t="shared" si="45"/>
        <v>3506.6944444444439</v>
      </c>
      <c r="Q47" s="421">
        <f t="shared" si="46"/>
        <v>5.1254933963992319E-2</v>
      </c>
    </row>
    <row r="48" spans="1:17" x14ac:dyDescent="0.2">
      <c r="A48" s="378" t="s">
        <v>107</v>
      </c>
      <c r="B48" s="379" t="s">
        <v>29</v>
      </c>
      <c r="C48" s="379">
        <f>+'1-Res_NonRes'!C57+'1-Res_NonRes'!C158</f>
        <v>3081</v>
      </c>
      <c r="D48" s="379">
        <f>+'1-Res_NonRes'!D57+'1-Res_NonRes'!D158</f>
        <v>37268</v>
      </c>
      <c r="E48" s="379">
        <f t="shared" si="47"/>
        <v>3105.6666666666665</v>
      </c>
      <c r="F48" s="379">
        <f>+'1-Res_NonRes'!F57+'1-Res_NonRes'!F158</f>
        <v>272</v>
      </c>
      <c r="G48" s="379">
        <f>+'1-Res_NonRes'!G57+'1-Res_NonRes'!G158</f>
        <v>1787</v>
      </c>
      <c r="H48" s="379">
        <f t="shared" si="48"/>
        <v>198.55555555555554</v>
      </c>
      <c r="I48" s="379">
        <f>+'1-Res_NonRes'!I57+'1-Res_NonRes'!I158</f>
        <v>71</v>
      </c>
      <c r="J48" s="379">
        <f>+'1-Res_NonRes'!J57+'1-Res_NonRes'!J158</f>
        <v>378</v>
      </c>
      <c r="K48" s="419">
        <f t="shared" si="49"/>
        <v>31.5</v>
      </c>
      <c r="L48" s="379">
        <f t="shared" si="50"/>
        <v>3424</v>
      </c>
      <c r="M48" s="420">
        <f t="shared" ref="M48:M54" si="51">(L48-L49)/L49</f>
        <v>3.8519866545344256E-2</v>
      </c>
      <c r="N48" s="379">
        <f t="shared" ref="N48:N60" si="52">+D48+G48+J48</f>
        <v>39433</v>
      </c>
      <c r="O48" s="420">
        <f t="shared" ref="O48:O54" si="53">(N48-N49)/N49</f>
        <v>2.6740613445815759E-2</v>
      </c>
      <c r="P48" s="380">
        <f t="shared" ref="P48:P60" si="54">+E48+H48+K48</f>
        <v>3335.7222222222222</v>
      </c>
      <c r="Q48" s="421">
        <f t="shared" ref="Q48:Q54" si="55">(P48-P49)/P49</f>
        <v>2.3166648206054529E-2</v>
      </c>
    </row>
    <row r="49" spans="1:17" x14ac:dyDescent="0.2">
      <c r="A49" s="378" t="s">
        <v>101</v>
      </c>
      <c r="B49" s="379" t="s">
        <v>29</v>
      </c>
      <c r="C49" s="379">
        <f>+'1-Res_NonRes'!C58+'1-Res_NonRes'!C159</f>
        <v>2869</v>
      </c>
      <c r="D49" s="379">
        <f>+'1-Res_NonRes'!D58+'1-Res_NonRes'!D159</f>
        <v>35312</v>
      </c>
      <c r="E49" s="379">
        <f t="shared" si="47"/>
        <v>2942.6666666666665</v>
      </c>
      <c r="F49" s="379">
        <f>+'1-Res_NonRes'!F58+'1-Res_NonRes'!F159</f>
        <v>296</v>
      </c>
      <c r="G49" s="379">
        <f>+'1-Res_NonRes'!G58+'1-Res_NonRes'!G159</f>
        <v>2149</v>
      </c>
      <c r="H49" s="379">
        <f t="shared" si="48"/>
        <v>238.77777777777777</v>
      </c>
      <c r="I49" s="379">
        <f>+'1-Res_NonRes'!I58+'1-Res_NonRes'!I159</f>
        <v>132</v>
      </c>
      <c r="J49" s="379">
        <f>+'1-Res_NonRes'!J58+'1-Res_NonRes'!J159</f>
        <v>945</v>
      </c>
      <c r="K49" s="419">
        <f t="shared" si="49"/>
        <v>78.75</v>
      </c>
      <c r="L49" s="379">
        <f t="shared" si="50"/>
        <v>3297</v>
      </c>
      <c r="M49" s="420">
        <f t="shared" si="51"/>
        <v>8.4539473684210525E-2</v>
      </c>
      <c r="N49" s="379">
        <f t="shared" si="52"/>
        <v>38406</v>
      </c>
      <c r="O49" s="420">
        <f t="shared" si="53"/>
        <v>9.9544790861461827E-2</v>
      </c>
      <c r="P49" s="380">
        <f t="shared" si="54"/>
        <v>3260.1944444444443</v>
      </c>
      <c r="Q49" s="421">
        <f t="shared" si="55"/>
        <v>0.10072495709341918</v>
      </c>
    </row>
    <row r="50" spans="1:17" x14ac:dyDescent="0.2">
      <c r="A50" s="378" t="s">
        <v>102</v>
      </c>
      <c r="B50" s="379" t="s">
        <v>29</v>
      </c>
      <c r="C50" s="379">
        <f>+'1-Res_NonRes'!C59+'1-Res_NonRes'!C160</f>
        <v>2667</v>
      </c>
      <c r="D50" s="379">
        <f>+'1-Res_NonRes'!D59+'1-Res_NonRes'!D160</f>
        <v>32307</v>
      </c>
      <c r="E50" s="379">
        <f t="shared" si="47"/>
        <v>2692.25</v>
      </c>
      <c r="F50" s="379">
        <f>+'1-Res_NonRes'!F59+'1-Res_NonRes'!F160</f>
        <v>269</v>
      </c>
      <c r="G50" s="379">
        <f>+'1-Res_NonRes'!G59+'1-Res_NonRes'!G160</f>
        <v>1840</v>
      </c>
      <c r="H50" s="379">
        <f t="shared" si="48"/>
        <v>204.44444444444446</v>
      </c>
      <c r="I50" s="379">
        <f>+'1-Res_NonRes'!I59+'1-Res_NonRes'!I160</f>
        <v>104</v>
      </c>
      <c r="J50" s="379">
        <f>+'1-Res_NonRes'!J59+'1-Res_NonRes'!J160</f>
        <v>782</v>
      </c>
      <c r="K50" s="419">
        <f t="shared" si="49"/>
        <v>65.166666666666671</v>
      </c>
      <c r="L50" s="379">
        <f t="shared" si="50"/>
        <v>3040</v>
      </c>
      <c r="M50" s="420">
        <f t="shared" si="51"/>
        <v>-2.9517874713020664E-3</v>
      </c>
      <c r="N50" s="379">
        <f t="shared" si="52"/>
        <v>34929</v>
      </c>
      <c r="O50" s="420">
        <f t="shared" si="53"/>
        <v>2.1805870369839037E-3</v>
      </c>
      <c r="P50" s="380">
        <f t="shared" si="54"/>
        <v>2961.8611111111109</v>
      </c>
      <c r="Q50" s="421">
        <f t="shared" si="55"/>
        <v>3.0950723437881498E-3</v>
      </c>
    </row>
    <row r="51" spans="1:17" x14ac:dyDescent="0.2">
      <c r="A51" s="378" t="s">
        <v>80</v>
      </c>
      <c r="B51" s="379" t="s">
        <v>29</v>
      </c>
      <c r="C51" s="379">
        <f>+'1-Res_NonRes'!C60+'1-Res_NonRes'!C161</f>
        <v>2683</v>
      </c>
      <c r="D51" s="379">
        <f>+'1-Res_NonRes'!D60+'1-Res_NonRes'!D161</f>
        <v>32478</v>
      </c>
      <c r="E51" s="379">
        <f t="shared" si="47"/>
        <v>2706.5</v>
      </c>
      <c r="F51" s="379">
        <f>+'1-Res_NonRes'!F60+'1-Res_NonRes'!F161</f>
        <v>261</v>
      </c>
      <c r="G51" s="379">
        <f>+'1-Res_NonRes'!G60+'1-Res_NonRes'!G161</f>
        <v>1739</v>
      </c>
      <c r="H51" s="379">
        <f t="shared" si="48"/>
        <v>193.22222222222223</v>
      </c>
      <c r="I51" s="379">
        <f>+'1-Res_NonRes'!I60+'1-Res_NonRes'!I161</f>
        <v>105</v>
      </c>
      <c r="J51" s="379">
        <f>+'1-Res_NonRes'!J60+'1-Res_NonRes'!J161</f>
        <v>636</v>
      </c>
      <c r="K51" s="419">
        <f t="shared" si="49"/>
        <v>53</v>
      </c>
      <c r="L51" s="379">
        <f t="shared" si="50"/>
        <v>3049</v>
      </c>
      <c r="M51" s="420">
        <f t="shared" si="51"/>
        <v>7.3969707643536456E-2</v>
      </c>
      <c r="N51" s="379">
        <f t="shared" si="52"/>
        <v>34853</v>
      </c>
      <c r="O51" s="420">
        <f t="shared" si="53"/>
        <v>8.0780203423468117E-2</v>
      </c>
      <c r="P51" s="380">
        <f t="shared" si="54"/>
        <v>2952.7222222222222</v>
      </c>
      <c r="Q51" s="421">
        <f t="shared" si="55"/>
        <v>8.3313800026497423E-2</v>
      </c>
    </row>
    <row r="52" spans="1:17" ht="13.5" thickBot="1" x14ac:dyDescent="0.25">
      <c r="A52" s="378" t="s">
        <v>60</v>
      </c>
      <c r="B52" s="379" t="s">
        <v>29</v>
      </c>
      <c r="C52" s="379">
        <f>+'1-Res_NonRes'!C61+'1-Res_NonRes'!C162</f>
        <v>2508</v>
      </c>
      <c r="D52" s="379">
        <f>+'1-Res_NonRes'!D61+'1-Res_NonRes'!D162</f>
        <v>30183</v>
      </c>
      <c r="E52" s="379">
        <f t="shared" si="47"/>
        <v>2515.25</v>
      </c>
      <c r="F52" s="379">
        <f>+'1-Res_NonRes'!F61+'1-Res_NonRes'!F162</f>
        <v>226</v>
      </c>
      <c r="G52" s="379">
        <f>+'1-Res_NonRes'!G61+'1-Res_NonRes'!G162</f>
        <v>1379</v>
      </c>
      <c r="H52" s="379">
        <f t="shared" si="48"/>
        <v>153.22222222222223</v>
      </c>
      <c r="I52" s="379">
        <f>+'1-Res_NonRes'!I61+'1-Res_NonRes'!I162</f>
        <v>105</v>
      </c>
      <c r="J52" s="379">
        <f>+'1-Res_NonRes'!J61+'1-Res_NonRes'!J162</f>
        <v>686</v>
      </c>
      <c r="K52" s="419">
        <f t="shared" si="49"/>
        <v>57.166666666666664</v>
      </c>
      <c r="L52" s="379">
        <f t="shared" si="50"/>
        <v>2839</v>
      </c>
      <c r="M52" s="420">
        <f t="shared" si="51"/>
        <v>3.4620991253644318E-2</v>
      </c>
      <c r="N52" s="379">
        <f t="shared" si="52"/>
        <v>32248</v>
      </c>
      <c r="O52" s="420">
        <f t="shared" si="53"/>
        <v>1.0845715002194219E-2</v>
      </c>
      <c r="P52" s="380">
        <f t="shared" si="54"/>
        <v>2725.6388888888887</v>
      </c>
      <c r="Q52" s="421">
        <f t="shared" si="55"/>
        <v>1.0837428274149831E-2</v>
      </c>
    </row>
    <row r="53" spans="1:17" hidden="1" x14ac:dyDescent="0.2">
      <c r="A53" s="378" t="s">
        <v>50</v>
      </c>
      <c r="B53" s="379" t="s">
        <v>29</v>
      </c>
      <c r="C53" s="379">
        <f>+'1-Res_NonRes'!C62+'1-Res_NonRes'!C163</f>
        <v>2436</v>
      </c>
      <c r="D53" s="379">
        <f>+'1-Res_NonRes'!D62+'1-Res_NonRes'!D163</f>
        <v>29892</v>
      </c>
      <c r="E53" s="379">
        <f t="shared" si="47"/>
        <v>2491</v>
      </c>
      <c r="F53" s="379">
        <f>+'1-Res_NonRes'!F62+'1-Res_NonRes'!F163</f>
        <v>213</v>
      </c>
      <c r="G53" s="379">
        <f>+'1-Res_NonRes'!G62+'1-Res_NonRes'!G163</f>
        <v>1365</v>
      </c>
      <c r="H53" s="379">
        <f t="shared" si="48"/>
        <v>151.66666666666666</v>
      </c>
      <c r="I53" s="379">
        <f>+'1-Res_NonRes'!I62+'1-Res_NonRes'!I163</f>
        <v>95</v>
      </c>
      <c r="J53" s="379">
        <f>+'1-Res_NonRes'!J62+'1-Res_NonRes'!J163</f>
        <v>645</v>
      </c>
      <c r="K53" s="419">
        <f t="shared" si="49"/>
        <v>53.75</v>
      </c>
      <c r="L53" s="379">
        <f t="shared" ref="L53:L60" si="56">+C53+F53+I53</f>
        <v>2744</v>
      </c>
      <c r="M53" s="420">
        <f t="shared" si="51"/>
        <v>-9.7437748105377118E-3</v>
      </c>
      <c r="N53" s="379">
        <f t="shared" si="52"/>
        <v>31902</v>
      </c>
      <c r="O53" s="420">
        <f t="shared" si="53"/>
        <v>1.0452299505891296E-2</v>
      </c>
      <c r="P53" s="380">
        <f t="shared" si="54"/>
        <v>2696.4166666666665</v>
      </c>
      <c r="Q53" s="421">
        <f t="shared" si="55"/>
        <v>7.7027686366513814E-3</v>
      </c>
    </row>
    <row r="54" spans="1:17" hidden="1" x14ac:dyDescent="0.2">
      <c r="A54" s="378" t="s">
        <v>48</v>
      </c>
      <c r="B54" s="379" t="s">
        <v>29</v>
      </c>
      <c r="C54" s="379">
        <f>+'1-Res_NonRes'!C63+'1-Res_NonRes'!C164</f>
        <v>2438</v>
      </c>
      <c r="D54" s="379">
        <f>+'1-Res_NonRes'!D63+'1-Res_NonRes'!D164</f>
        <v>29595</v>
      </c>
      <c r="E54" s="379">
        <f t="shared" si="47"/>
        <v>2466.25</v>
      </c>
      <c r="F54" s="379">
        <f>+'1-Res_NonRes'!F63+'1-Res_NonRes'!F164</f>
        <v>274</v>
      </c>
      <c r="G54" s="379">
        <f>+'1-Res_NonRes'!G63+'1-Res_NonRes'!G164</f>
        <v>1613</v>
      </c>
      <c r="H54" s="379">
        <f t="shared" si="48"/>
        <v>179.22222222222223</v>
      </c>
      <c r="I54" s="379">
        <f>+'1-Res_NonRes'!I63+'1-Res_NonRes'!I164</f>
        <v>59</v>
      </c>
      <c r="J54" s="379">
        <f>+'1-Res_NonRes'!J63+'1-Res_NonRes'!J164</f>
        <v>364</v>
      </c>
      <c r="K54" s="419">
        <f t="shared" si="49"/>
        <v>30.333333333333332</v>
      </c>
      <c r="L54" s="379">
        <f t="shared" si="56"/>
        <v>2771</v>
      </c>
      <c r="M54" s="420">
        <f t="shared" si="51"/>
        <v>-1.632942847000355E-2</v>
      </c>
      <c r="N54" s="379">
        <f t="shared" si="52"/>
        <v>31572</v>
      </c>
      <c r="O54" s="420">
        <f t="shared" si="53"/>
        <v>-2.5314892566065696E-2</v>
      </c>
      <c r="P54" s="380">
        <f t="shared" si="54"/>
        <v>2675.8055555555557</v>
      </c>
      <c r="Q54" s="421">
        <f t="shared" si="55"/>
        <v>-2.6969969393630184E-2</v>
      </c>
    </row>
    <row r="55" spans="1:17" s="430" customFormat="1" hidden="1" x14ac:dyDescent="0.2">
      <c r="A55" s="378" t="s">
        <v>39</v>
      </c>
      <c r="B55" s="379" t="s">
        <v>29</v>
      </c>
      <c r="C55" s="379">
        <f>+'1-Res_NonRes'!C64+'1-Res_NonRes'!C165</f>
        <v>2450</v>
      </c>
      <c r="D55" s="379">
        <f>+'1-Res_NonRes'!D64+'1-Res_NonRes'!D165</f>
        <v>29931</v>
      </c>
      <c r="E55" s="379">
        <f t="shared" si="47"/>
        <v>2494.25</v>
      </c>
      <c r="F55" s="379">
        <f>+'1-Res_NonRes'!F64+'1-Res_NonRes'!F165</f>
        <v>283</v>
      </c>
      <c r="G55" s="379">
        <f>+'1-Res_NonRes'!G64+'1-Res_NonRes'!G165</f>
        <v>1823</v>
      </c>
      <c r="H55" s="379">
        <f t="shared" si="48"/>
        <v>202.55555555555554</v>
      </c>
      <c r="I55" s="379">
        <f>+'1-Res_NonRes'!I64+'1-Res_NonRes'!I165</f>
        <v>84</v>
      </c>
      <c r="J55" s="379">
        <f>+'1-Res_NonRes'!J64+'1-Res_NonRes'!J165</f>
        <v>638</v>
      </c>
      <c r="K55" s="419">
        <f t="shared" si="49"/>
        <v>53.166666666666664</v>
      </c>
      <c r="L55" s="379">
        <f t="shared" si="56"/>
        <v>2817</v>
      </c>
      <c r="M55" s="420">
        <f>(L55-L57)/L57</f>
        <v>-6.2250332889480689E-2</v>
      </c>
      <c r="N55" s="379">
        <f t="shared" si="52"/>
        <v>32392</v>
      </c>
      <c r="O55" s="420">
        <f>(N55-N57)/N57</f>
        <v>-2.9743896959712447E-2</v>
      </c>
      <c r="P55" s="380">
        <f t="shared" si="54"/>
        <v>2749.9722222222222</v>
      </c>
      <c r="Q55" s="421">
        <f>(P55-P57)/P57</f>
        <v>-3.1055475081235649E-2</v>
      </c>
    </row>
    <row r="56" spans="1:17" hidden="1" x14ac:dyDescent="0.2">
      <c r="A56" s="426" t="s">
        <v>39</v>
      </c>
      <c r="B56" s="427" t="s">
        <v>27</v>
      </c>
      <c r="C56" s="400" t="e">
        <f>+'1-Res_NonRes'!C65+'1-Res_NonRes'!#REF!</f>
        <v>#REF!</v>
      </c>
      <c r="D56" s="400" t="e">
        <f>+'1-Res_NonRes'!D65+'1-Res_NonRes'!#REF!</f>
        <v>#REF!</v>
      </c>
      <c r="E56" s="400" t="e">
        <f t="shared" si="47"/>
        <v>#REF!</v>
      </c>
      <c r="F56" s="400" t="e">
        <f>+'1-Res_NonRes'!F65+'1-Res_NonRes'!#REF!</f>
        <v>#REF!</v>
      </c>
      <c r="G56" s="400" t="e">
        <f>+'1-Res_NonRes'!G65+'1-Res_NonRes'!#REF!</f>
        <v>#REF!</v>
      </c>
      <c r="H56" s="400" t="e">
        <f t="shared" si="48"/>
        <v>#REF!</v>
      </c>
      <c r="I56" s="427" t="e">
        <f>+I57*#REF!</f>
        <v>#REF!</v>
      </c>
      <c r="J56" s="427" t="e">
        <f>+J57*#REF!</f>
        <v>#REF!</v>
      </c>
      <c r="K56" s="428" t="e">
        <f>+J56/12</f>
        <v>#REF!</v>
      </c>
      <c r="L56" s="400" t="e">
        <f t="shared" si="56"/>
        <v>#REF!</v>
      </c>
      <c r="M56" s="420" t="e">
        <f>(L56-L57)/L57</f>
        <v>#REF!</v>
      </c>
      <c r="N56" s="400" t="e">
        <f t="shared" si="52"/>
        <v>#REF!</v>
      </c>
      <c r="O56" s="420" t="e">
        <f>(N56-N57)/N57</f>
        <v>#REF!</v>
      </c>
      <c r="P56" s="429" t="e">
        <f t="shared" si="54"/>
        <v>#REF!</v>
      </c>
      <c r="Q56" s="421" t="e">
        <f>(P56-P57)/P57</f>
        <v>#REF!</v>
      </c>
    </row>
    <row r="57" spans="1:17" s="430" customFormat="1" hidden="1" x14ac:dyDescent="0.2">
      <c r="A57" s="382" t="s">
        <v>31</v>
      </c>
      <c r="B57" s="379" t="s">
        <v>29</v>
      </c>
      <c r="C57" s="379">
        <f>+'1-Res_NonRes'!C66+'1-Res_NonRes'!C166</f>
        <v>2647</v>
      </c>
      <c r="D57" s="379">
        <f>+'1-Res_NonRes'!D66+'1-Res_NonRes'!D166</f>
        <v>31368</v>
      </c>
      <c r="E57" s="379">
        <f t="shared" si="47"/>
        <v>2614</v>
      </c>
      <c r="F57" s="379">
        <f>+'1-Res_NonRes'!F66+'1-Res_NonRes'!F166</f>
        <v>357</v>
      </c>
      <c r="G57" s="379">
        <f>+'1-Res_NonRes'!G66+'1-Res_NonRes'!G166</f>
        <v>2017</v>
      </c>
      <c r="H57" s="379">
        <f t="shared" si="48"/>
        <v>224.11111111111111</v>
      </c>
      <c r="I57" s="379">
        <v>0</v>
      </c>
      <c r="J57" s="379">
        <v>0</v>
      </c>
      <c r="K57" s="419">
        <f>+J57/12</f>
        <v>0</v>
      </c>
      <c r="L57" s="379">
        <f t="shared" si="56"/>
        <v>3004</v>
      </c>
      <c r="M57" s="420">
        <f>(L57-L59)/L59</f>
        <v>-5.2066898075102556E-2</v>
      </c>
      <c r="N57" s="379">
        <f t="shared" si="52"/>
        <v>33385</v>
      </c>
      <c r="O57" s="420">
        <f>(N57-N59)/N59</f>
        <v>-7.661457613054902E-2</v>
      </c>
      <c r="P57" s="380">
        <f t="shared" si="54"/>
        <v>2838.1111111111113</v>
      </c>
      <c r="Q57" s="421">
        <f>(P57-P59)/P59</f>
        <v>-7.5240982938860293E-2</v>
      </c>
    </row>
    <row r="58" spans="1:17" hidden="1" x14ac:dyDescent="0.2">
      <c r="A58" s="431" t="s">
        <v>31</v>
      </c>
      <c r="B58" s="432" t="s">
        <v>27</v>
      </c>
      <c r="C58" s="432">
        <f>+C59*0.9</f>
        <v>2457.9</v>
      </c>
      <c r="D58" s="432">
        <f>D59*0.9</f>
        <v>30222.9</v>
      </c>
      <c r="E58" s="432">
        <f>D58/12</f>
        <v>2518.5750000000003</v>
      </c>
      <c r="F58" s="432">
        <f>+F59*0.9</f>
        <v>306</v>
      </c>
      <c r="G58" s="432">
        <f>G59*0.9</f>
        <v>1818</v>
      </c>
      <c r="H58" s="432">
        <f>G58/9</f>
        <v>202</v>
      </c>
      <c r="I58" s="432">
        <f>+I59*0.9</f>
        <v>88.2</v>
      </c>
      <c r="J58" s="432">
        <f>J59*0.9</f>
        <v>498.6</v>
      </c>
      <c r="K58" s="433">
        <f>J58/12</f>
        <v>41.550000000000004</v>
      </c>
      <c r="L58" s="432">
        <f t="shared" si="56"/>
        <v>2852.1</v>
      </c>
      <c r="M58" s="420">
        <f>(L58-L59)/L59</f>
        <v>-0.10000000000000003</v>
      </c>
      <c r="N58" s="432">
        <f t="shared" si="52"/>
        <v>32539.5</v>
      </c>
      <c r="O58" s="420">
        <f>(N58-N59)/N59</f>
        <v>-0.1</v>
      </c>
      <c r="P58" s="434">
        <f t="shared" si="54"/>
        <v>2762.1250000000005</v>
      </c>
      <c r="Q58" s="421">
        <f>(P58-P59)/P59</f>
        <v>-9.9999999999999728E-2</v>
      </c>
    </row>
    <row r="59" spans="1:17" hidden="1" x14ac:dyDescent="0.2">
      <c r="A59" s="382" t="s">
        <v>32</v>
      </c>
      <c r="B59" s="379" t="s">
        <v>29</v>
      </c>
      <c r="C59" s="379">
        <f>+'1-Res_NonRes'!C67+'1-Res_NonRes'!C167</f>
        <v>2731</v>
      </c>
      <c r="D59" s="379">
        <f>+'1-Res_NonRes'!D67+'1-Res_NonRes'!D167</f>
        <v>33581</v>
      </c>
      <c r="E59" s="379">
        <f>D59/12</f>
        <v>2798.4166666666665</v>
      </c>
      <c r="F59" s="379">
        <f>+'1-Res_NonRes'!F67+'1-Res_NonRes'!F167</f>
        <v>340</v>
      </c>
      <c r="G59" s="379">
        <f>+'1-Res_NonRes'!G67+'1-Res_NonRes'!G167</f>
        <v>2020</v>
      </c>
      <c r="H59" s="379">
        <f>G59/9</f>
        <v>224.44444444444446</v>
      </c>
      <c r="I59" s="379">
        <f>+'1-Res_NonRes'!I67+'1-Res_NonRes'!I167</f>
        <v>98</v>
      </c>
      <c r="J59" s="379">
        <f>+'1-Res_NonRes'!J67+'1-Res_NonRes'!J167</f>
        <v>554</v>
      </c>
      <c r="K59" s="419">
        <f>J59/12</f>
        <v>46.166666666666664</v>
      </c>
      <c r="L59" s="379">
        <f t="shared" si="56"/>
        <v>3169</v>
      </c>
      <c r="M59" s="420" t="e">
        <f>(L59-L60)/L60</f>
        <v>#REF!</v>
      </c>
      <c r="N59" s="379">
        <f t="shared" si="52"/>
        <v>36155</v>
      </c>
      <c r="O59" s="420" t="e">
        <f>(N59-N60)/N60</f>
        <v>#REF!</v>
      </c>
      <c r="P59" s="380">
        <f t="shared" si="54"/>
        <v>3069.0277777777774</v>
      </c>
      <c r="Q59" s="421" t="e">
        <f>(P59-P60)/P60</f>
        <v>#REF!</v>
      </c>
    </row>
    <row r="60" spans="1:17" ht="15" hidden="1" customHeight="1" thickBot="1" x14ac:dyDescent="0.25">
      <c r="A60" s="382" t="s">
        <v>33</v>
      </c>
      <c r="B60" s="379" t="s">
        <v>29</v>
      </c>
      <c r="C60" s="379" t="e">
        <f>+'1-Res_NonRes'!#REF!+'1-Res_NonRes'!C168</f>
        <v>#REF!</v>
      </c>
      <c r="D60" s="379" t="e">
        <f>+'1-Res_NonRes'!#REF!+'1-Res_NonRes'!D168</f>
        <v>#REF!</v>
      </c>
      <c r="E60" s="379" t="e">
        <f>D60/12</f>
        <v>#REF!</v>
      </c>
      <c r="F60" s="379" t="e">
        <f>+'1-Res_NonRes'!#REF!+'1-Res_NonRes'!F168</f>
        <v>#REF!</v>
      </c>
      <c r="G60" s="379" t="e">
        <f>+'1-Res_NonRes'!#REF!+'1-Res_NonRes'!G168</f>
        <v>#REF!</v>
      </c>
      <c r="H60" s="379" t="e">
        <f>G60/9</f>
        <v>#REF!</v>
      </c>
      <c r="I60" s="379" t="e">
        <f>+'1-Res_NonRes'!#REF!+'1-Res_NonRes'!I168</f>
        <v>#REF!</v>
      </c>
      <c r="J60" s="379" t="e">
        <f>+'1-Res_NonRes'!#REF!+'1-Res_NonRes'!J168</f>
        <v>#REF!</v>
      </c>
      <c r="K60" s="419" t="e">
        <f>J60/12</f>
        <v>#REF!</v>
      </c>
      <c r="L60" s="379" t="e">
        <f t="shared" si="56"/>
        <v>#REF!</v>
      </c>
      <c r="M60" s="419"/>
      <c r="N60" s="379" t="e">
        <f t="shared" si="52"/>
        <v>#REF!</v>
      </c>
      <c r="O60" s="419"/>
      <c r="P60" s="380" t="e">
        <f t="shared" si="54"/>
        <v>#REF!</v>
      </c>
      <c r="Q60" s="422"/>
    </row>
    <row r="61" spans="1:17" ht="15" customHeight="1" thickBot="1" x14ac:dyDescent="0.25">
      <c r="A61" s="423" t="s">
        <v>645</v>
      </c>
      <c r="B61" s="409"/>
      <c r="C61" s="409"/>
      <c r="D61" s="409"/>
      <c r="E61" s="409"/>
      <c r="F61" s="409"/>
      <c r="G61" s="409"/>
      <c r="H61" s="409"/>
      <c r="I61" s="409"/>
      <c r="J61" s="409"/>
      <c r="K61" s="424"/>
      <c r="L61" s="409"/>
      <c r="M61" s="424"/>
      <c r="N61" s="409"/>
      <c r="O61" s="424"/>
      <c r="P61" s="411"/>
      <c r="Q61" s="412"/>
    </row>
    <row r="62" spans="1:17" ht="15" customHeight="1" x14ac:dyDescent="0.2">
      <c r="A62" s="382" t="s">
        <v>1433</v>
      </c>
      <c r="B62" s="379"/>
      <c r="C62" s="379">
        <f>'1-Res_NonRes'!C70+'1-Res_NonRes'!C171</f>
        <v>700</v>
      </c>
      <c r="D62" s="379">
        <f>'1-Res_NonRes'!D70+'1-Res_NonRes'!D171</f>
        <v>3333</v>
      </c>
      <c r="E62" s="379">
        <f>'1-Res_NonRes'!E70+'1-Res_NonRes'!E169</f>
        <v>272.83333333333331</v>
      </c>
      <c r="F62" s="379">
        <f>'1-Res_NonRes'!F70+'1-Res_NonRes'!F171</f>
        <v>112</v>
      </c>
      <c r="G62" s="379">
        <f>'1-Res_NonRes'!G70+'1-Res_NonRes'!G171</f>
        <v>579</v>
      </c>
      <c r="H62" s="379">
        <f t="shared" ref="H62:H67" si="57">G62/9</f>
        <v>64.333333333333329</v>
      </c>
      <c r="I62" s="379">
        <f>'1-Res_NonRes'!I70+'1-Res_NonRes'!I171</f>
        <v>29</v>
      </c>
      <c r="J62" s="379">
        <f>'1-Res_NonRes'!J70+'1-Res_NonRes'!J171</f>
        <v>120</v>
      </c>
      <c r="K62" s="419">
        <f t="shared" ref="K62:K67" si="58">J62/12</f>
        <v>10</v>
      </c>
      <c r="L62" s="379">
        <f>'1-Res_NonRes'!L70+'1-Res_NonRes'!L171</f>
        <v>841</v>
      </c>
      <c r="M62" s="420">
        <f t="shared" ref="M62:M67" si="59">(L62-L63)/L63</f>
        <v>-8.6862106406080344E-2</v>
      </c>
      <c r="N62" s="379">
        <f>'1-Res_NonRes'!M70+'1-Res_NonRes'!M171</f>
        <v>4032</v>
      </c>
      <c r="O62" s="420">
        <f t="shared" ref="O62:O67" si="60">(N62-N63)/N63</f>
        <v>-0.15807057840885363</v>
      </c>
      <c r="P62" s="380">
        <f>'1-Res_NonRes'!N70+'1-Res_NonRes'!N169</f>
        <v>345.77777777777777</v>
      </c>
      <c r="Q62" s="421">
        <f t="shared" ref="Q62:Q67" si="61">(P62-P63)/P63</f>
        <v>-0.16344086021505375</v>
      </c>
    </row>
    <row r="63" spans="1:17" ht="15" customHeight="1" x14ac:dyDescent="0.2">
      <c r="A63" s="382" t="s">
        <v>642</v>
      </c>
      <c r="B63" s="379"/>
      <c r="C63" s="379">
        <f>'1-Res_NonRes'!C71+'1-Res_NonRes'!C172</f>
        <v>791</v>
      </c>
      <c r="D63" s="379">
        <f>'1-Res_NonRes'!D71+'1-Res_NonRes'!D172</f>
        <v>4088</v>
      </c>
      <c r="E63" s="379">
        <f>'1-Res_NonRes'!E71+'1-Res_NonRes'!E170</f>
        <v>338.33333333333331</v>
      </c>
      <c r="F63" s="379">
        <f>'1-Res_NonRes'!F71+'1-Res_NonRes'!F172</f>
        <v>107</v>
      </c>
      <c r="G63" s="379">
        <f>'1-Res_NonRes'!G71+'1-Res_NonRes'!G172</f>
        <v>618</v>
      </c>
      <c r="H63" s="379">
        <f t="shared" si="57"/>
        <v>68.666666666666671</v>
      </c>
      <c r="I63" s="379">
        <f>'1-Res_NonRes'!I71+'1-Res_NonRes'!I172</f>
        <v>23</v>
      </c>
      <c r="J63" s="379">
        <f>'1-Res_NonRes'!J71+'1-Res_NonRes'!J172</f>
        <v>83</v>
      </c>
      <c r="K63" s="419">
        <f t="shared" si="58"/>
        <v>6.916666666666667</v>
      </c>
      <c r="L63" s="379">
        <f>'1-Res_NonRes'!L71+'1-Res_NonRes'!L172</f>
        <v>921</v>
      </c>
      <c r="M63" s="420">
        <f t="shared" si="59"/>
        <v>-0.10582524271844661</v>
      </c>
      <c r="N63" s="379">
        <f>'1-Res_NonRes'!M71+'1-Res_NonRes'!M172</f>
        <v>4789</v>
      </c>
      <c r="O63" s="420">
        <f t="shared" si="60"/>
        <v>8.0794403069284593E-2</v>
      </c>
      <c r="P63" s="380">
        <f>'1-Res_NonRes'!N71+'1-Res_NonRes'!N170</f>
        <v>413.33333333333331</v>
      </c>
      <c r="Q63" s="421">
        <f t="shared" si="61"/>
        <v>7.1274298056155358E-2</v>
      </c>
    </row>
    <row r="64" spans="1:17" ht="15" customHeight="1" x14ac:dyDescent="0.2">
      <c r="A64" s="382" t="s">
        <v>349</v>
      </c>
      <c r="B64" s="379"/>
      <c r="C64" s="379">
        <f>'1-Res_NonRes'!C72+'1-Res_NonRes'!C173</f>
        <v>867</v>
      </c>
      <c r="D64" s="379">
        <f>'1-Res_NonRes'!D72+'1-Res_NonRes'!D173</f>
        <v>3765</v>
      </c>
      <c r="E64" s="379">
        <f>'1-Res_NonRes'!E72+'1-Res_NonRes'!E173</f>
        <v>313.75</v>
      </c>
      <c r="F64" s="379">
        <f>'1-Res_NonRes'!F72+'1-Res_NonRes'!F173</f>
        <v>143</v>
      </c>
      <c r="G64" s="379">
        <f>'1-Res_NonRes'!G72+'1-Res_NonRes'!G173</f>
        <v>597</v>
      </c>
      <c r="H64" s="379">
        <f t="shared" si="57"/>
        <v>66.333333333333329</v>
      </c>
      <c r="I64" s="379">
        <f>'1-Res_NonRes'!I72+'1-Res_NonRes'!I173</f>
        <v>20</v>
      </c>
      <c r="J64" s="379">
        <f>'1-Res_NonRes'!J72+'1-Res_NonRes'!J173</f>
        <v>69</v>
      </c>
      <c r="K64" s="419">
        <f t="shared" si="58"/>
        <v>5.75</v>
      </c>
      <c r="L64" s="379">
        <f>'1-Res_NonRes'!L72+'1-Res_NonRes'!L173</f>
        <v>1030</v>
      </c>
      <c r="M64" s="420">
        <f t="shared" si="59"/>
        <v>2.2840119165839126E-2</v>
      </c>
      <c r="N64" s="379">
        <f>'1-Res_NonRes'!M72+'1-Res_NonRes'!M173</f>
        <v>4431</v>
      </c>
      <c r="O64" s="420">
        <f t="shared" si="60"/>
        <v>-0.15358166189111747</v>
      </c>
      <c r="P64" s="380">
        <f>'1-Res_NonRes'!N72+'1-Res_NonRes'!N173</f>
        <v>385.83333333333337</v>
      </c>
      <c r="Q64" s="421">
        <f t="shared" si="61"/>
        <v>-0.15818181818181806</v>
      </c>
    </row>
    <row r="65" spans="1:17" ht="15" customHeight="1" x14ac:dyDescent="0.2">
      <c r="A65" s="382" t="s">
        <v>323</v>
      </c>
      <c r="B65" s="379"/>
      <c r="C65" s="379">
        <f>'1-Res_NonRes'!C73+'1-Res_NonRes'!C174</f>
        <v>815</v>
      </c>
      <c r="D65" s="379">
        <f>'1-Res_NonRes'!D73+'1-Res_NonRes'!D174</f>
        <v>4235</v>
      </c>
      <c r="E65" s="379">
        <f>'1-Res_NonRes'!E73+'1-Res_NonRes'!E174</f>
        <v>352.91666666666663</v>
      </c>
      <c r="F65" s="379">
        <f>'1-Res_NonRes'!F73+'1-Res_NonRes'!F174</f>
        <v>151</v>
      </c>
      <c r="G65" s="379">
        <f>'1-Res_NonRes'!G73+'1-Res_NonRes'!G174</f>
        <v>795</v>
      </c>
      <c r="H65" s="379">
        <f t="shared" si="57"/>
        <v>88.333333333333329</v>
      </c>
      <c r="I65" s="379">
        <f>'1-Res_NonRes'!I73+'1-Res_NonRes'!I174</f>
        <v>41</v>
      </c>
      <c r="J65" s="379">
        <f>'1-Res_NonRes'!J73+'1-Res_NonRes'!J174</f>
        <v>205</v>
      </c>
      <c r="K65" s="419">
        <f t="shared" si="58"/>
        <v>17.083333333333332</v>
      </c>
      <c r="L65" s="379">
        <f>'1-Res_NonRes'!L73+'1-Res_NonRes'!L174</f>
        <v>1007</v>
      </c>
      <c r="M65" s="420">
        <f t="shared" si="59"/>
        <v>-0.26173020527859236</v>
      </c>
      <c r="N65" s="379">
        <f>'1-Res_NonRes'!M73+'1-Res_NonRes'!M174</f>
        <v>5235</v>
      </c>
      <c r="O65" s="420">
        <f t="shared" si="60"/>
        <v>-6.25E-2</v>
      </c>
      <c r="P65" s="380">
        <f>'1-Res_NonRes'!N73+'1-Res_NonRes'!N174</f>
        <v>458.33333333333331</v>
      </c>
      <c r="Q65" s="421">
        <f t="shared" si="61"/>
        <v>-5.4657958061189525E-2</v>
      </c>
    </row>
    <row r="66" spans="1:17" x14ac:dyDescent="0.2">
      <c r="A66" s="382" t="s">
        <v>299</v>
      </c>
      <c r="B66" s="379"/>
      <c r="C66" s="379">
        <f>'1-Res_NonRes'!C74+'1-Res_NonRes'!C175</f>
        <v>1127</v>
      </c>
      <c r="D66" s="379">
        <f>'1-Res_NonRes'!D74+'1-Res_NonRes'!D175</f>
        <v>4703</v>
      </c>
      <c r="E66" s="379">
        <f>'1-Res_NonRes'!E74+'1-Res_NonRes'!E175</f>
        <v>391.91666666666669</v>
      </c>
      <c r="F66" s="379">
        <f>'1-Res_NonRes'!F74+'1-Res_NonRes'!F175</f>
        <v>185</v>
      </c>
      <c r="G66" s="379">
        <f>'1-Res_NonRes'!G74+'1-Res_NonRes'!G175</f>
        <v>702</v>
      </c>
      <c r="H66" s="379">
        <f t="shared" si="57"/>
        <v>78</v>
      </c>
      <c r="I66" s="379">
        <f>'1-Res_NonRes'!I74+'1-Res_NonRes'!I175</f>
        <v>52</v>
      </c>
      <c r="J66" s="379">
        <f>'1-Res_NonRes'!J74+'1-Res_NonRes'!J175</f>
        <v>179</v>
      </c>
      <c r="K66" s="419">
        <f t="shared" si="58"/>
        <v>14.916666666666666</v>
      </c>
      <c r="L66" s="379">
        <f>'1-Res_NonRes'!L74+'1-Res_NonRes'!L175</f>
        <v>1364</v>
      </c>
      <c r="M66" s="420">
        <f t="shared" si="59"/>
        <v>9.558232931726908E-2</v>
      </c>
      <c r="N66" s="379">
        <f>'1-Res_NonRes'!M74+'1-Res_NonRes'!M175</f>
        <v>5584</v>
      </c>
      <c r="O66" s="420">
        <f t="shared" si="60"/>
        <v>-0.14065866420437056</v>
      </c>
      <c r="P66" s="380">
        <f>'1-Res_NonRes'!N74+'1-Res_NonRes'!N175</f>
        <v>484.83333333333337</v>
      </c>
      <c r="Q66" s="421">
        <f t="shared" si="61"/>
        <v>-0.13047377073681063</v>
      </c>
    </row>
    <row r="67" spans="1:17" x14ac:dyDescent="0.2">
      <c r="A67" s="378" t="s">
        <v>298</v>
      </c>
      <c r="B67" s="379"/>
      <c r="C67" s="379">
        <f>'1-Res_NonRes'!C75+'1-Res_NonRes'!C176</f>
        <v>1062</v>
      </c>
      <c r="D67" s="379">
        <f>'1-Res_NonRes'!D75+'1-Res_NonRes'!D176</f>
        <v>5647</v>
      </c>
      <c r="E67" s="379">
        <f>'1-Res_NonRes'!E75+'1-Res_NonRes'!E176</f>
        <v>470.58333333333331</v>
      </c>
      <c r="F67" s="379">
        <f>'1-Res_NonRes'!F75+'1-Res_NonRes'!F176</f>
        <v>120</v>
      </c>
      <c r="G67" s="379">
        <f>'1-Res_NonRes'!G75+'1-Res_NonRes'!G176</f>
        <v>579</v>
      </c>
      <c r="H67" s="379">
        <f t="shared" si="57"/>
        <v>64.333333333333329</v>
      </c>
      <c r="I67" s="379">
        <f>'1-Res_NonRes'!I75+'1-Res_NonRes'!I176</f>
        <v>63</v>
      </c>
      <c r="J67" s="379">
        <f>'1-Res_NonRes'!J75+'1-Res_NonRes'!J176</f>
        <v>272</v>
      </c>
      <c r="K67" s="419">
        <f t="shared" si="58"/>
        <v>22.666666666666668</v>
      </c>
      <c r="L67" s="379">
        <f>'1-Res_NonRes'!L75+'1-Res_NonRes'!L176</f>
        <v>1245</v>
      </c>
      <c r="M67" s="420">
        <f t="shared" si="59"/>
        <v>-6.3909774436090222E-2</v>
      </c>
      <c r="N67" s="379">
        <f>'1-Res_NonRes'!M75+'1-Res_NonRes'!M176</f>
        <v>6498</v>
      </c>
      <c r="O67" s="420">
        <f t="shared" si="60"/>
        <v>-9.3470982142857137E-2</v>
      </c>
      <c r="P67" s="380">
        <f>'1-Res_NonRes'!N75+'1-Res_NonRes'!N176</f>
        <v>557.58333333333337</v>
      </c>
      <c r="Q67" s="421">
        <f t="shared" si="61"/>
        <v>-9.8693368057114608E-2</v>
      </c>
    </row>
    <row r="68" spans="1:17" x14ac:dyDescent="0.2">
      <c r="A68" s="378" t="s">
        <v>212</v>
      </c>
      <c r="B68" s="379"/>
      <c r="C68" s="379">
        <f>'1-Res_NonRes'!C76+'1-Res_NonRes'!C177</f>
        <v>1143</v>
      </c>
      <c r="D68" s="379">
        <f>'1-Res_NonRes'!D76+'1-Res_NonRes'!D177</f>
        <v>6177</v>
      </c>
      <c r="E68" s="379">
        <f>'1-Res_NonRes'!E76+'1-Res_NonRes'!E177</f>
        <v>514.75</v>
      </c>
      <c r="F68" s="379">
        <f>'1-Res_NonRes'!F76+'1-Res_NonRes'!F177</f>
        <v>140</v>
      </c>
      <c r="G68" s="379">
        <f>'1-Res_NonRes'!G76+'1-Res_NonRes'!G177</f>
        <v>767</v>
      </c>
      <c r="H68" s="379">
        <f t="shared" ref="H68:H73" si="62">G68/9</f>
        <v>85.222222222222229</v>
      </c>
      <c r="I68" s="379">
        <f>'1-Res_NonRes'!I76+'1-Res_NonRes'!I177</f>
        <v>47</v>
      </c>
      <c r="J68" s="379">
        <f>'1-Res_NonRes'!J76+'1-Res_NonRes'!J177</f>
        <v>224</v>
      </c>
      <c r="K68" s="419">
        <f t="shared" ref="K68:K73" si="63">J68/12</f>
        <v>18.666666666666668</v>
      </c>
      <c r="L68" s="379">
        <f>'1-Res_NonRes'!L76+'1-Res_NonRes'!L177</f>
        <v>1330</v>
      </c>
      <c r="M68" s="420">
        <f t="shared" ref="M68:M73" si="64">(L68-L69)/L69</f>
        <v>6.8273092369477914E-2</v>
      </c>
      <c r="N68" s="379">
        <f>'1-Res_NonRes'!M76+'1-Res_NonRes'!M177</f>
        <v>7168</v>
      </c>
      <c r="O68" s="420">
        <f t="shared" ref="O68:O73" si="65">(N68-N69)/N69</f>
        <v>-9.7560975609756097E-4</v>
      </c>
      <c r="P68" s="380">
        <f>'1-Res_NonRes'!N76+'1-Res_NonRes'!N177</f>
        <v>618.63888888888891</v>
      </c>
      <c r="Q68" s="421">
        <f t="shared" ref="Q68:Q73" si="66">(P68-P69)/P69</f>
        <v>1.3038395827714973E-3</v>
      </c>
    </row>
    <row r="69" spans="1:17" x14ac:dyDescent="0.2">
      <c r="A69" s="378" t="s">
        <v>207</v>
      </c>
      <c r="B69" s="379"/>
      <c r="C69" s="379">
        <f>'1-Res_NonRes'!C77+'1-Res_NonRes'!C178</f>
        <v>1094</v>
      </c>
      <c r="D69" s="379">
        <f>'1-Res_NonRes'!D77+'1-Res_NonRes'!D178</f>
        <v>6313</v>
      </c>
      <c r="E69" s="379">
        <f>'1-Res_NonRes'!E77+'1-Res_NonRes'!E178</f>
        <v>526.08333333333326</v>
      </c>
      <c r="F69" s="379">
        <f>'1-Res_NonRes'!F77+'1-Res_NonRes'!F178</f>
        <v>119</v>
      </c>
      <c r="G69" s="379">
        <f>'1-Res_NonRes'!G77+'1-Res_NonRes'!G178</f>
        <v>717</v>
      </c>
      <c r="H69" s="379">
        <f t="shared" si="62"/>
        <v>79.666666666666671</v>
      </c>
      <c r="I69" s="379">
        <f>'1-Res_NonRes'!I77+'1-Res_NonRes'!I178</f>
        <v>32</v>
      </c>
      <c r="J69" s="379">
        <f>'1-Res_NonRes'!J77+'1-Res_NonRes'!J178</f>
        <v>145</v>
      </c>
      <c r="K69" s="419">
        <f t="shared" si="63"/>
        <v>12.083333333333334</v>
      </c>
      <c r="L69" s="379">
        <f>'1-Res_NonRes'!L77+'1-Res_NonRes'!L178</f>
        <v>1245</v>
      </c>
      <c r="M69" s="420">
        <f t="shared" si="64"/>
        <v>-0.10302593659942363</v>
      </c>
      <c r="N69" s="379">
        <f>'1-Res_NonRes'!M77+'1-Res_NonRes'!M178</f>
        <v>7175</v>
      </c>
      <c r="O69" s="420">
        <f t="shared" si="65"/>
        <v>-3.4320323014804845E-2</v>
      </c>
      <c r="P69" s="380">
        <f>'1-Res_NonRes'!N77+'1-Res_NonRes'!N178</f>
        <v>617.83333333333326</v>
      </c>
      <c r="Q69" s="421">
        <f t="shared" si="66"/>
        <v>-4.1334425240291406E-2</v>
      </c>
    </row>
    <row r="70" spans="1:17" s="136" customFormat="1" x14ac:dyDescent="0.2">
      <c r="A70" s="378" t="s">
        <v>204</v>
      </c>
      <c r="B70" s="409"/>
      <c r="C70" s="379">
        <f>'1-Res_NonRes'!C78+'1-Res_NonRes'!C179</f>
        <v>1171</v>
      </c>
      <c r="D70" s="379">
        <f>'1-Res_NonRes'!D78+'1-Res_NonRes'!D179</f>
        <v>6313</v>
      </c>
      <c r="E70" s="379">
        <f>'1-Res_NonRes'!E78+'1-Res_NonRes'!E179</f>
        <v>526.08333333333337</v>
      </c>
      <c r="F70" s="379">
        <f>'1-Res_NonRes'!F78+'1-Res_NonRes'!F179</f>
        <v>171</v>
      </c>
      <c r="G70" s="379">
        <f>'1-Res_NonRes'!G78+'1-Res_NonRes'!G179</f>
        <v>911</v>
      </c>
      <c r="H70" s="379">
        <f t="shared" si="62"/>
        <v>101.22222222222223</v>
      </c>
      <c r="I70" s="379">
        <f>'1-Res_NonRes'!I78+'1-Res_NonRes'!I179</f>
        <v>46</v>
      </c>
      <c r="J70" s="379">
        <f>'1-Res_NonRes'!J78+'1-Res_NonRes'!J179</f>
        <v>206</v>
      </c>
      <c r="K70" s="419">
        <f t="shared" si="63"/>
        <v>17.166666666666668</v>
      </c>
      <c r="L70" s="379">
        <f>'1-Res_NonRes'!L78+'1-Res_NonRes'!L179</f>
        <v>1388</v>
      </c>
      <c r="M70" s="420">
        <f t="shared" si="64"/>
        <v>0.17726887192536048</v>
      </c>
      <c r="N70" s="379">
        <f>'1-Res_NonRes'!M78+'1-Res_NonRes'!M179</f>
        <v>7430</v>
      </c>
      <c r="O70" s="420">
        <f t="shared" si="65"/>
        <v>0.15768152072296665</v>
      </c>
      <c r="P70" s="380">
        <f>'1-Res_NonRes'!N78+'1-Res_NonRes'!N179</f>
        <v>644.47222222222217</v>
      </c>
      <c r="Q70" s="421">
        <f t="shared" si="66"/>
        <v>0.16881612090680087</v>
      </c>
    </row>
    <row r="71" spans="1:17" x14ac:dyDescent="0.2">
      <c r="A71" s="378" t="s">
        <v>185</v>
      </c>
      <c r="B71" s="379"/>
      <c r="C71" s="379">
        <f>'1-Res_NonRes'!C79+'1-Res_NonRes'!C180</f>
        <v>1020</v>
      </c>
      <c r="D71" s="379">
        <f>'1-Res_NonRes'!D79+'1-Res_NonRes'!D180</f>
        <v>5699</v>
      </c>
      <c r="E71" s="379">
        <f>'1-Res_NonRes'!E79+'1-Res_NonRes'!E180</f>
        <v>474.91666666666669</v>
      </c>
      <c r="F71" s="379">
        <f>'1-Res_NonRes'!F79+'1-Res_NonRes'!F180</f>
        <v>129</v>
      </c>
      <c r="G71" s="379">
        <f>'1-Res_NonRes'!G79+'1-Res_NonRes'!G180</f>
        <v>596</v>
      </c>
      <c r="H71" s="379">
        <f t="shared" si="62"/>
        <v>66.222222222222229</v>
      </c>
      <c r="I71" s="379">
        <f>'1-Res_NonRes'!I79+'1-Res_NonRes'!I180</f>
        <v>30</v>
      </c>
      <c r="J71" s="379">
        <f>'1-Res_NonRes'!J79+'1-Res_NonRes'!J180</f>
        <v>123</v>
      </c>
      <c r="K71" s="419">
        <f t="shared" si="63"/>
        <v>10.25</v>
      </c>
      <c r="L71" s="379">
        <f>'1-Res_NonRes'!L79+'1-Res_NonRes'!L180</f>
        <v>1179</v>
      </c>
      <c r="M71" s="420">
        <f t="shared" si="64"/>
        <v>2.1663778162911613E-2</v>
      </c>
      <c r="N71" s="379">
        <f>'1-Res_NonRes'!M79+'1-Res_NonRes'!M180</f>
        <v>6418</v>
      </c>
      <c r="O71" s="420">
        <f t="shared" si="65"/>
        <v>-8.0370942812983005E-3</v>
      </c>
      <c r="P71" s="380">
        <f>'1-Res_NonRes'!N79+'1-Res_NonRes'!N180</f>
        <v>551.38888888888891</v>
      </c>
      <c r="Q71" s="421">
        <f t="shared" si="66"/>
        <v>-1.6011500520497605E-2</v>
      </c>
    </row>
    <row r="72" spans="1:17" x14ac:dyDescent="0.2">
      <c r="A72" s="378" t="s">
        <v>162</v>
      </c>
      <c r="B72" s="379"/>
      <c r="C72" s="379">
        <f>'1-Res_NonRes'!C80+'1-Res_NonRes'!C181</f>
        <v>990</v>
      </c>
      <c r="D72" s="379">
        <f>'1-Res_NonRes'!D80+'1-Res_NonRes'!D181</f>
        <v>5550</v>
      </c>
      <c r="E72" s="379">
        <f>'1-Res_NonRes'!E80+'1-Res_NonRes'!E181</f>
        <v>462.5</v>
      </c>
      <c r="F72" s="379">
        <f>'1-Res_NonRes'!F80+'1-Res_NonRes'!F181</f>
        <v>129</v>
      </c>
      <c r="G72" s="379">
        <f>'1-Res_NonRes'!G80+'1-Res_NonRes'!G181</f>
        <v>763</v>
      </c>
      <c r="H72" s="379">
        <f t="shared" si="62"/>
        <v>84.777777777777771</v>
      </c>
      <c r="I72" s="379">
        <f>'1-Res_NonRes'!I80+'1-Res_NonRes'!I181</f>
        <v>35</v>
      </c>
      <c r="J72" s="379">
        <f>'1-Res_NonRes'!J80+'1-Res_NonRes'!J181</f>
        <v>157</v>
      </c>
      <c r="K72" s="419">
        <f t="shared" si="63"/>
        <v>13.083333333333334</v>
      </c>
      <c r="L72" s="379">
        <f>'1-Res_NonRes'!L80+'1-Res_NonRes'!L181</f>
        <v>1154</v>
      </c>
      <c r="M72" s="420">
        <f t="shared" si="64"/>
        <v>-7.3836276083467101E-2</v>
      </c>
      <c r="N72" s="379">
        <f>'1-Res_NonRes'!M80+'1-Res_NonRes'!M181</f>
        <v>6470</v>
      </c>
      <c r="O72" s="420">
        <f t="shared" si="65"/>
        <v>-0.13641217298451683</v>
      </c>
      <c r="P72" s="380">
        <f>'1-Res_NonRes'!N80+'1-Res_NonRes'!N181</f>
        <v>560.36111111111109</v>
      </c>
      <c r="Q72" s="421">
        <f t="shared" si="66"/>
        <v>-0.12587745905191108</v>
      </c>
    </row>
    <row r="73" spans="1:17" x14ac:dyDescent="0.2">
      <c r="A73" s="378" t="s">
        <v>126</v>
      </c>
      <c r="B73" s="379"/>
      <c r="C73" s="379">
        <f>'1-Res_NonRes'!C81+'1-Res_NonRes'!C182</f>
        <v>1097</v>
      </c>
      <c r="D73" s="379">
        <f>'1-Res_NonRes'!D81+'1-Res_NonRes'!D182</f>
        <v>6719</v>
      </c>
      <c r="E73" s="379">
        <f>'1-Res_NonRes'!E81+'1-Res_NonRes'!E182</f>
        <v>559.91666666666674</v>
      </c>
      <c r="F73" s="379">
        <f>'1-Res_NonRes'!F81+'1-Res_NonRes'!F182</f>
        <v>108</v>
      </c>
      <c r="G73" s="379">
        <f>'1-Res_NonRes'!G81+'1-Res_NonRes'!G182</f>
        <v>602</v>
      </c>
      <c r="H73" s="379">
        <f t="shared" si="62"/>
        <v>66.888888888888886</v>
      </c>
      <c r="I73" s="379">
        <f>'1-Res_NonRes'!I81+'1-Res_NonRes'!I182</f>
        <v>41</v>
      </c>
      <c r="J73" s="379">
        <f>'1-Res_NonRes'!J81+'1-Res_NonRes'!J182</f>
        <v>171</v>
      </c>
      <c r="K73" s="419">
        <f t="shared" si="63"/>
        <v>14.25</v>
      </c>
      <c r="L73" s="379">
        <f>'1-Res_NonRes'!L81+'1-Res_NonRes'!L182</f>
        <v>1246</v>
      </c>
      <c r="M73" s="420">
        <f t="shared" si="64"/>
        <v>-1.6025641025641025E-3</v>
      </c>
      <c r="N73" s="379">
        <f>'1-Res_NonRes'!M81+'1-Res_NonRes'!M182</f>
        <v>7492</v>
      </c>
      <c r="O73" s="420">
        <f t="shared" si="65"/>
        <v>-1.0565240359218173E-2</v>
      </c>
      <c r="P73" s="380">
        <f>'1-Res_NonRes'!N81+'1-Res_NonRes'!N182</f>
        <v>641.05555555555566</v>
      </c>
      <c r="Q73" s="421">
        <f t="shared" si="66"/>
        <v>-2.4351061131309543E-2</v>
      </c>
    </row>
    <row r="74" spans="1:17" x14ac:dyDescent="0.2">
      <c r="A74" s="378" t="s">
        <v>114</v>
      </c>
      <c r="B74" s="379"/>
      <c r="C74" s="379">
        <f>'1-Res_NonRes'!C82+'1-Res_NonRes'!C183</f>
        <v>1080</v>
      </c>
      <c r="D74" s="379">
        <f>'1-Res_NonRes'!D82+'1-Res_NonRes'!D183</f>
        <v>6461</v>
      </c>
      <c r="E74" s="379">
        <f>'1-Res_NonRes'!E82+'1-Res_NonRes'!E183</f>
        <v>538.41666666666663</v>
      </c>
      <c r="F74" s="379">
        <f>'1-Res_NonRes'!F82+'1-Res_NonRes'!F183</f>
        <v>132</v>
      </c>
      <c r="G74" s="379">
        <f>'1-Res_NonRes'!G82+'1-Res_NonRes'!G183</f>
        <v>938</v>
      </c>
      <c r="H74" s="379">
        <f t="shared" ref="H74:H85" si="67">G74/9</f>
        <v>104.22222222222223</v>
      </c>
      <c r="I74" s="379">
        <f>'1-Res_NonRes'!I82+'1-Res_NonRes'!I183</f>
        <v>36</v>
      </c>
      <c r="J74" s="379">
        <f>'1-Res_NonRes'!J82+'1-Res_NonRes'!J183</f>
        <v>173</v>
      </c>
      <c r="K74" s="419">
        <f t="shared" ref="K74:K85" si="68">J74/12</f>
        <v>14.416666666666666</v>
      </c>
      <c r="L74" s="379">
        <f>'1-Res_NonRes'!L82+'1-Res_NonRes'!L183</f>
        <v>1248</v>
      </c>
      <c r="M74" s="420">
        <f t="shared" ref="M74:M79" si="69">(L74-L75)/L75</f>
        <v>-4.5141545524100997E-2</v>
      </c>
      <c r="N74" s="379">
        <f>'1-Res_NonRes'!M82+'1-Res_NonRes'!M183</f>
        <v>7572</v>
      </c>
      <c r="O74" s="420">
        <f t="shared" ref="O74:O79" si="70">(N74-N75)/N75</f>
        <v>-4.4301400984475575E-2</v>
      </c>
      <c r="P74" s="380">
        <f>'1-Res_NonRes'!N82+'1-Res_NonRes'!N183</f>
        <v>657.05555555555554</v>
      </c>
      <c r="Q74" s="421">
        <f t="shared" ref="Q74:Q79" si="71">(P74-P75)/P75</f>
        <v>-3.681081521296535E-2</v>
      </c>
    </row>
    <row r="75" spans="1:17" x14ac:dyDescent="0.2">
      <c r="A75" s="378" t="s">
        <v>105</v>
      </c>
      <c r="B75" s="379" t="s">
        <v>29</v>
      </c>
      <c r="C75" s="379">
        <f>'1-Res_NonRes'!C83+'1-Res_NonRes'!C184</f>
        <v>1126</v>
      </c>
      <c r="D75" s="379">
        <f>'1-Res_NonRes'!D83+'1-Res_NonRes'!D184</f>
        <v>6848</v>
      </c>
      <c r="E75" s="379">
        <f>'1-Res_NonRes'!E83+'1-Res_NonRes'!E184</f>
        <v>570.66666666666663</v>
      </c>
      <c r="F75" s="379">
        <f>'1-Res_NonRes'!F83+'1-Res_NonRes'!F184</f>
        <v>119</v>
      </c>
      <c r="G75" s="379">
        <f>'1-Res_NonRes'!G83+'1-Res_NonRes'!G184</f>
        <v>789</v>
      </c>
      <c r="H75" s="379">
        <f t="shared" si="67"/>
        <v>87.666666666666671</v>
      </c>
      <c r="I75" s="379">
        <f>'1-Res_NonRes'!I83+'1-Res_NonRes'!I184</f>
        <v>62</v>
      </c>
      <c r="J75" s="379">
        <f>'1-Res_NonRes'!J83+'1-Res_NonRes'!J184</f>
        <v>286</v>
      </c>
      <c r="K75" s="419">
        <f t="shared" si="68"/>
        <v>23.833333333333332</v>
      </c>
      <c r="L75" s="379">
        <f>'1-Res_NonRes'!L83+'1-Res_NonRes'!L184</f>
        <v>1307</v>
      </c>
      <c r="M75" s="420">
        <f t="shared" si="69"/>
        <v>8.3747927031509115E-2</v>
      </c>
      <c r="N75" s="379">
        <f>'1-Res_NonRes'!M83+'1-Res_NonRes'!M184</f>
        <v>7923</v>
      </c>
      <c r="O75" s="420">
        <f t="shared" si="70"/>
        <v>0.10733752620545073</v>
      </c>
      <c r="P75" s="380">
        <f>'1-Res_NonRes'!N83+'1-Res_NonRes'!N184</f>
        <v>682.16666666666674</v>
      </c>
      <c r="Q75" s="421">
        <f t="shared" si="71"/>
        <v>0.11444908331820675</v>
      </c>
    </row>
    <row r="76" spans="1:17" x14ac:dyDescent="0.2">
      <c r="A76" s="378" t="s">
        <v>100</v>
      </c>
      <c r="B76" s="379" t="s">
        <v>29</v>
      </c>
      <c r="C76" s="379">
        <f>'1-Res_NonRes'!C84+'1-Res_NonRes'!C185</f>
        <v>1061</v>
      </c>
      <c r="D76" s="379">
        <f>'1-Res_NonRes'!D84+'1-Res_NonRes'!D185</f>
        <v>6256</v>
      </c>
      <c r="E76" s="379">
        <f>'1-Res_NonRes'!E84+'1-Res_NonRes'!E185</f>
        <v>521.33333333333326</v>
      </c>
      <c r="F76" s="379">
        <f>'1-Res_NonRes'!F84+'1-Res_NonRes'!F185</f>
        <v>76</v>
      </c>
      <c r="G76" s="379">
        <f>'1-Res_NonRes'!G84+'1-Res_NonRes'!G185</f>
        <v>571</v>
      </c>
      <c r="H76" s="379">
        <f t="shared" si="67"/>
        <v>63.444444444444443</v>
      </c>
      <c r="I76" s="379">
        <f>'1-Res_NonRes'!I84+'1-Res_NonRes'!I185</f>
        <v>69</v>
      </c>
      <c r="J76" s="379">
        <f>'1-Res_NonRes'!J84+'1-Res_NonRes'!J185</f>
        <v>328</v>
      </c>
      <c r="K76" s="419">
        <f t="shared" si="68"/>
        <v>27.333333333333332</v>
      </c>
      <c r="L76" s="379">
        <f>'1-Res_NonRes'!L84+'1-Res_NonRes'!L185</f>
        <v>1206</v>
      </c>
      <c r="M76" s="420">
        <f t="shared" si="69"/>
        <v>-5.9282371294851796E-2</v>
      </c>
      <c r="N76" s="379">
        <f>'1-Res_NonRes'!M84+'1-Res_NonRes'!M185</f>
        <v>7155</v>
      </c>
      <c r="O76" s="420">
        <f t="shared" si="70"/>
        <v>-0.1102959462820194</v>
      </c>
      <c r="P76" s="380">
        <f>'1-Res_NonRes'!N84+'1-Res_NonRes'!N185</f>
        <v>612.11111111111109</v>
      </c>
      <c r="Q76" s="421">
        <f t="shared" si="71"/>
        <v>-0.11732425395553787</v>
      </c>
    </row>
    <row r="77" spans="1:17" x14ac:dyDescent="0.2">
      <c r="A77" s="378" t="s">
        <v>95</v>
      </c>
      <c r="B77" s="379" t="s">
        <v>29</v>
      </c>
      <c r="C77" s="379">
        <f>'1-Res_NonRes'!C85+'1-Res_NonRes'!C186</f>
        <v>1041</v>
      </c>
      <c r="D77" s="379">
        <f>'1-Res_NonRes'!D85+'1-Res_NonRes'!D186</f>
        <v>6511</v>
      </c>
      <c r="E77" s="379">
        <f>'1-Res_NonRes'!E85+'1-Res_NonRes'!E186</f>
        <v>542.58333333333337</v>
      </c>
      <c r="F77" s="379">
        <f>'1-Res_NonRes'!F85+'1-Res_NonRes'!F186</f>
        <v>119</v>
      </c>
      <c r="G77" s="379">
        <f>'1-Res_NonRes'!G85+'1-Res_NonRes'!G186</f>
        <v>839</v>
      </c>
      <c r="H77" s="379">
        <f t="shared" si="67"/>
        <v>93.222222222222229</v>
      </c>
      <c r="I77" s="379">
        <f>'1-Res_NonRes'!I85+'1-Res_NonRes'!I186</f>
        <v>122</v>
      </c>
      <c r="J77" s="379">
        <f>'1-Res_NonRes'!J85+'1-Res_NonRes'!J186</f>
        <v>692</v>
      </c>
      <c r="K77" s="419">
        <f t="shared" si="68"/>
        <v>57.666666666666664</v>
      </c>
      <c r="L77" s="379">
        <f>'1-Res_NonRes'!L85+'1-Res_NonRes'!L186</f>
        <v>1282</v>
      </c>
      <c r="M77" s="420">
        <f t="shared" si="69"/>
        <v>0.16439600363306087</v>
      </c>
      <c r="N77" s="379">
        <f>'1-Res_NonRes'!M85+'1-Res_NonRes'!M186</f>
        <v>8042</v>
      </c>
      <c r="O77" s="420">
        <f t="shared" si="70"/>
        <v>0.20750750750750752</v>
      </c>
      <c r="P77" s="380">
        <f>'1-Res_NonRes'!N85+'1-Res_NonRes'!N186</f>
        <v>693.47222222222229</v>
      </c>
      <c r="Q77" s="421">
        <f t="shared" si="71"/>
        <v>0.22895540021659938</v>
      </c>
    </row>
    <row r="78" spans="1:17" x14ac:dyDescent="0.2">
      <c r="A78" s="538" t="s">
        <v>61</v>
      </c>
      <c r="B78" s="393" t="s">
        <v>29</v>
      </c>
      <c r="C78" s="393">
        <f>'1-Res_NonRes'!C86+'1-Res_NonRes'!C187</f>
        <v>978</v>
      </c>
      <c r="D78" s="393">
        <f>'1-Res_NonRes'!D86+'1-Res_NonRes'!D187</f>
        <v>6071</v>
      </c>
      <c r="E78" s="393">
        <f>'1-Res_NonRes'!E86+'1-Res_NonRes'!E187</f>
        <v>505.91666666666663</v>
      </c>
      <c r="F78" s="393">
        <f>'1-Res_NonRes'!F86+'1-Res_NonRes'!F187</f>
        <v>64</v>
      </c>
      <c r="G78" s="393">
        <f>'1-Res_NonRes'!G86+'1-Res_NonRes'!G187</f>
        <v>334</v>
      </c>
      <c r="H78" s="393">
        <f t="shared" si="67"/>
        <v>37.111111111111114</v>
      </c>
      <c r="I78" s="393">
        <f>'1-Res_NonRes'!I86+'1-Res_NonRes'!I187</f>
        <v>59</v>
      </c>
      <c r="J78" s="393">
        <f>'1-Res_NonRes'!J86+'1-Res_NonRes'!J187</f>
        <v>255</v>
      </c>
      <c r="K78" s="435">
        <f t="shared" si="68"/>
        <v>21.25</v>
      </c>
      <c r="L78" s="393">
        <f>'1-Res_NonRes'!L86+'1-Res_NonRes'!L187</f>
        <v>1101</v>
      </c>
      <c r="M78" s="436">
        <f t="shared" si="69"/>
        <v>-9.0009000900090012E-3</v>
      </c>
      <c r="N78" s="393">
        <f>'1-Res_NonRes'!M86+'1-Res_NonRes'!M187</f>
        <v>6660</v>
      </c>
      <c r="O78" s="436">
        <f t="shared" si="70"/>
        <v>-5.5248618784530384E-3</v>
      </c>
      <c r="P78" s="394">
        <f>'1-Res_NonRes'!N86+'1-Res_NonRes'!N187</f>
        <v>564.27777777777783</v>
      </c>
      <c r="Q78" s="437">
        <f t="shared" si="71"/>
        <v>1.1099497287342613E-2</v>
      </c>
    </row>
    <row r="79" spans="1:17" hidden="1" x14ac:dyDescent="0.2">
      <c r="A79" s="392" t="s">
        <v>56</v>
      </c>
      <c r="B79" s="393" t="s">
        <v>57</v>
      </c>
      <c r="C79" s="393">
        <f>'1-Res_NonRes'!C87+'1-Res_NonRes'!C188</f>
        <v>1014</v>
      </c>
      <c r="D79" s="393">
        <f>'1-Res_NonRes'!D87+'1-Res_NonRes'!D188</f>
        <v>6278</v>
      </c>
      <c r="E79" s="393">
        <f>'1-Res_NonRes'!E87+'1-Res_NonRes'!E188</f>
        <v>523.16666666666663</v>
      </c>
      <c r="F79" s="393">
        <f>'1-Res_NonRes'!F87+'1-Res_NonRes'!F188</f>
        <v>19</v>
      </c>
      <c r="G79" s="393">
        <f>'1-Res_NonRes'!G87+'1-Res_NonRes'!G188</f>
        <v>66</v>
      </c>
      <c r="H79" s="393">
        <f t="shared" si="67"/>
        <v>7.333333333333333</v>
      </c>
      <c r="I79" s="393">
        <f>'1-Res_NonRes'!I87+'1-Res_NonRes'!I188</f>
        <v>78</v>
      </c>
      <c r="J79" s="393">
        <f>'1-Res_NonRes'!J87+'1-Res_NonRes'!J188</f>
        <v>353</v>
      </c>
      <c r="K79" s="435">
        <f t="shared" si="68"/>
        <v>29.416666666666668</v>
      </c>
      <c r="L79" s="393">
        <f>'1-Res_NonRes'!L87+'1-Res_NonRes'!L188</f>
        <v>1111</v>
      </c>
      <c r="M79" s="436">
        <f t="shared" si="69"/>
        <v>-0.1440677966101695</v>
      </c>
      <c r="N79" s="393">
        <f>'1-Res_NonRes'!M87+'1-Res_NonRes'!M188</f>
        <v>6697</v>
      </c>
      <c r="O79" s="436">
        <f t="shared" si="70"/>
        <v>-3.612550374208405E-2</v>
      </c>
      <c r="P79" s="394">
        <f>N79/12</f>
        <v>558.08333333333337</v>
      </c>
      <c r="Q79" s="437">
        <f t="shared" si="71"/>
        <v>-3.6125503742083988E-2</v>
      </c>
    </row>
    <row r="80" spans="1:17" hidden="1" x14ac:dyDescent="0.2">
      <c r="A80" s="382" t="s">
        <v>51</v>
      </c>
      <c r="B80" s="379" t="s">
        <v>29</v>
      </c>
      <c r="C80" s="379">
        <f>'1-Res_NonRes'!C88+'1-Res_NonRes'!C189</f>
        <v>923</v>
      </c>
      <c r="D80" s="379">
        <f>'1-Res_NonRes'!D88+'1-Res_NonRes'!D189</f>
        <v>5410</v>
      </c>
      <c r="E80" s="379">
        <f>'1-Res_NonRes'!E88+'1-Res_NonRes'!E189</f>
        <v>450.83333333333331</v>
      </c>
      <c r="F80" s="379">
        <f>'1-Res_NonRes'!F88+'1-Res_NonRes'!F189</f>
        <v>208</v>
      </c>
      <c r="G80" s="379">
        <f>'1-Res_NonRes'!G88+'1-Res_NonRes'!G189</f>
        <v>762</v>
      </c>
      <c r="H80" s="379">
        <f t="shared" si="67"/>
        <v>84.666666666666671</v>
      </c>
      <c r="I80" s="379">
        <f>'1-Res_NonRes'!I88+'1-Res_NonRes'!I189</f>
        <v>167</v>
      </c>
      <c r="J80" s="379">
        <f>'1-Res_NonRes'!J88+'1-Res_NonRes'!J189</f>
        <v>776</v>
      </c>
      <c r="K80" s="419">
        <f t="shared" si="68"/>
        <v>64.666666666666671</v>
      </c>
      <c r="L80" s="379">
        <f>'1-Res_NonRes'!L88+'1-Res_NonRes'!L189</f>
        <v>1298</v>
      </c>
      <c r="M80" s="420"/>
      <c r="N80" s="379">
        <f>'1-Res_NonRes'!M88+'1-Res_NonRes'!M189</f>
        <v>6948</v>
      </c>
      <c r="O80" s="419"/>
      <c r="P80" s="380">
        <f>N80/12</f>
        <v>579</v>
      </c>
      <c r="Q80" s="422"/>
    </row>
    <row r="81" spans="1:17" s="430" customFormat="1" hidden="1" x14ac:dyDescent="0.2">
      <c r="A81" s="382" t="s">
        <v>52</v>
      </c>
      <c r="B81" s="438" t="s">
        <v>103</v>
      </c>
      <c r="C81" s="439" t="s">
        <v>117</v>
      </c>
      <c r="D81" s="439" t="s">
        <v>117</v>
      </c>
      <c r="E81" s="439" t="s">
        <v>117</v>
      </c>
      <c r="F81" s="439" t="s">
        <v>117</v>
      </c>
      <c r="G81" s="439" t="s">
        <v>117</v>
      </c>
      <c r="H81" s="439" t="s">
        <v>117</v>
      </c>
      <c r="I81" s="439" t="s">
        <v>117</v>
      </c>
      <c r="J81" s="439" t="s">
        <v>117</v>
      </c>
      <c r="K81" s="439" t="s">
        <v>117</v>
      </c>
      <c r="L81" s="440" t="s">
        <v>117</v>
      </c>
      <c r="M81" s="439" t="s">
        <v>117</v>
      </c>
      <c r="N81" s="440" t="s">
        <v>117</v>
      </c>
      <c r="O81" s="439" t="s">
        <v>117</v>
      </c>
      <c r="P81" s="440" t="s">
        <v>117</v>
      </c>
      <c r="Q81" s="441" t="s">
        <v>117</v>
      </c>
    </row>
    <row r="82" spans="1:17" hidden="1" x14ac:dyDescent="0.2">
      <c r="A82" s="382" t="s">
        <v>53</v>
      </c>
      <c r="B82" s="379" t="s">
        <v>29</v>
      </c>
      <c r="C82" s="379">
        <f>'1-Res_NonRes'!C90+'1-Res_NonRes'!C191</f>
        <v>990</v>
      </c>
      <c r="D82" s="379">
        <f>'1-Res_NonRes'!D90+'1-Res_NonRes'!D191</f>
        <v>6075</v>
      </c>
      <c r="E82" s="379">
        <f>D82/12</f>
        <v>506.25</v>
      </c>
      <c r="F82" s="379">
        <f>'1-Res_NonRes'!F90+'1-Res_NonRes'!F191</f>
        <v>120</v>
      </c>
      <c r="G82" s="379">
        <f>'1-Res_NonRes'!G90+'1-Res_NonRes'!G191</f>
        <v>450</v>
      </c>
      <c r="H82" s="379">
        <f t="shared" si="67"/>
        <v>50</v>
      </c>
      <c r="I82" s="379">
        <f>'1-Res_NonRes'!I90+'1-Res_NonRes'!I191</f>
        <v>101</v>
      </c>
      <c r="J82" s="379">
        <f>'1-Res_NonRes'!J90+'1-Res_NonRes'!J191</f>
        <v>474</v>
      </c>
      <c r="K82" s="419">
        <f t="shared" si="68"/>
        <v>39.5</v>
      </c>
      <c r="L82" s="379">
        <f>+C82+F82+I82</f>
        <v>1211</v>
      </c>
      <c r="M82" s="420">
        <f>(L82-L83)/L83</f>
        <v>-6.6882416396979477E-2</v>
      </c>
      <c r="N82" s="379">
        <f>+D82+G82+J82</f>
        <v>6999</v>
      </c>
      <c r="O82" s="420">
        <f>(N82-N83)/N83</f>
        <v>-3.0340814630091438E-2</v>
      </c>
      <c r="P82" s="380">
        <f>+E82+H82+K82</f>
        <v>595.75</v>
      </c>
      <c r="Q82" s="421">
        <f>(P82-P83)/P83</f>
        <v>-3.3579365723091788E-2</v>
      </c>
    </row>
    <row r="83" spans="1:17" hidden="1" x14ac:dyDescent="0.2">
      <c r="A83" s="431" t="s">
        <v>34</v>
      </c>
      <c r="B83" s="432" t="s">
        <v>27</v>
      </c>
      <c r="C83" s="432">
        <f>+C84*0.9</f>
        <v>1080</v>
      </c>
      <c r="D83" s="432">
        <f>D84*0.9</f>
        <v>6265.8</v>
      </c>
      <c r="E83" s="432">
        <f>D83/12</f>
        <v>522.15</v>
      </c>
      <c r="F83" s="432">
        <f>+F84*0.9</f>
        <v>129.6</v>
      </c>
      <c r="G83" s="432">
        <f>G84*0.9</f>
        <v>538.20000000000005</v>
      </c>
      <c r="H83" s="432">
        <f t="shared" si="67"/>
        <v>59.800000000000004</v>
      </c>
      <c r="I83" s="432">
        <f>+I84*0.9</f>
        <v>88.2</v>
      </c>
      <c r="J83" s="432">
        <f>J84*0.9</f>
        <v>414</v>
      </c>
      <c r="K83" s="433">
        <f t="shared" si="68"/>
        <v>34.5</v>
      </c>
      <c r="L83" s="432">
        <f>+C83+F83+I83</f>
        <v>1297.8</v>
      </c>
      <c r="M83" s="420">
        <f>(L83-L84)/L84</f>
        <v>-0.10000000000000003</v>
      </c>
      <c r="N83" s="432">
        <f>+D83+G83+J83</f>
        <v>7218</v>
      </c>
      <c r="O83" s="420">
        <f>(N83-N84)/N84</f>
        <v>-0.1</v>
      </c>
      <c r="P83" s="434">
        <f>+E83+H83+K83</f>
        <v>616.44999999999993</v>
      </c>
      <c r="Q83" s="421">
        <f>(P83-P84)/P84</f>
        <v>-0.10000000000000012</v>
      </c>
    </row>
    <row r="84" spans="1:17" hidden="1" x14ac:dyDescent="0.2">
      <c r="A84" s="382" t="s">
        <v>54</v>
      </c>
      <c r="B84" s="379" t="s">
        <v>29</v>
      </c>
      <c r="C84" s="379">
        <f>+'1-Res_NonRes'!C91+'1-Res_NonRes'!C192</f>
        <v>1200</v>
      </c>
      <c r="D84" s="379">
        <f>+'1-Res_NonRes'!D91+'1-Res_NonRes'!D192</f>
        <v>6962</v>
      </c>
      <c r="E84" s="379">
        <f>D84/12</f>
        <v>580.16666666666663</v>
      </c>
      <c r="F84" s="379">
        <f>+'1-Res_NonRes'!F91+'1-Res_NonRes'!F192</f>
        <v>144</v>
      </c>
      <c r="G84" s="379">
        <f>+'1-Res_NonRes'!G91+'1-Res_NonRes'!G192</f>
        <v>598</v>
      </c>
      <c r="H84" s="379">
        <f t="shared" si="67"/>
        <v>66.444444444444443</v>
      </c>
      <c r="I84" s="379">
        <f>+'1-Res_NonRes'!I91+'1-Res_NonRes'!I192</f>
        <v>98</v>
      </c>
      <c r="J84" s="379">
        <f>+'1-Res_NonRes'!J91+'1-Res_NonRes'!J192</f>
        <v>460</v>
      </c>
      <c r="K84" s="419">
        <f t="shared" si="68"/>
        <v>38.333333333333336</v>
      </c>
      <c r="L84" s="379">
        <f>+C84+F84+I84</f>
        <v>1442</v>
      </c>
      <c r="M84" s="420" t="e">
        <f>(L84-L85)/L85</f>
        <v>#REF!</v>
      </c>
      <c r="N84" s="379">
        <f>+D84+G84+J84</f>
        <v>8020</v>
      </c>
      <c r="O84" s="420" t="e">
        <f>(N84-N85)/N85</f>
        <v>#REF!</v>
      </c>
      <c r="P84" s="380">
        <f>+E84+H84+K84</f>
        <v>684.94444444444446</v>
      </c>
      <c r="Q84" s="421" t="e">
        <f>(P84-P85)/P85</f>
        <v>#REF!</v>
      </c>
    </row>
    <row r="85" spans="1:17" ht="13.5" hidden="1" thickBot="1" x14ac:dyDescent="0.25">
      <c r="A85" s="401" t="s">
        <v>55</v>
      </c>
      <c r="B85" s="395" t="s">
        <v>29</v>
      </c>
      <c r="C85" s="395" t="e">
        <f>+'1-Res_NonRes'!#REF!+'1-Res_NonRes'!#REF!</f>
        <v>#REF!</v>
      </c>
      <c r="D85" s="395" t="e">
        <f>+'1-Res_NonRes'!#REF!+'1-Res_NonRes'!#REF!</f>
        <v>#REF!</v>
      </c>
      <c r="E85" s="395" t="e">
        <f>D85/12</f>
        <v>#REF!</v>
      </c>
      <c r="F85" s="395" t="e">
        <f>+'1-Res_NonRes'!#REF!+'1-Res_NonRes'!#REF!</f>
        <v>#REF!</v>
      </c>
      <c r="G85" s="395" t="e">
        <f>+'1-Res_NonRes'!#REF!+'1-Res_NonRes'!#REF!</f>
        <v>#REF!</v>
      </c>
      <c r="H85" s="395" t="e">
        <f t="shared" si="67"/>
        <v>#REF!</v>
      </c>
      <c r="I85" s="395" t="e">
        <f>+'1-Res_NonRes'!#REF!+'1-Res_NonRes'!#REF!</f>
        <v>#REF!</v>
      </c>
      <c r="J85" s="395" t="e">
        <f>+'1-Res_NonRes'!#REF!+'1-Res_NonRes'!#REF!</f>
        <v>#REF!</v>
      </c>
      <c r="K85" s="442" t="e">
        <f t="shared" si="68"/>
        <v>#REF!</v>
      </c>
      <c r="L85" s="443" t="e">
        <f>+C85+F85+I85</f>
        <v>#REF!</v>
      </c>
      <c r="M85" s="442"/>
      <c r="N85" s="393" t="e">
        <f>+D85+G85+J85</f>
        <v>#REF!</v>
      </c>
      <c r="O85" s="442"/>
      <c r="P85" s="396" t="e">
        <f>+E85+H85+K85</f>
        <v>#REF!</v>
      </c>
      <c r="Q85" s="444"/>
    </row>
    <row r="86" spans="1:17" x14ac:dyDescent="0.2">
      <c r="A86" s="379"/>
      <c r="B86" s="379"/>
      <c r="C86" s="379"/>
      <c r="D86" s="379"/>
      <c r="E86" s="379"/>
      <c r="F86" s="379"/>
      <c r="G86" s="379"/>
      <c r="H86" s="379"/>
      <c r="I86" s="379"/>
      <c r="J86" s="379"/>
      <c r="K86" s="379"/>
      <c r="L86" s="379"/>
      <c r="M86" s="379"/>
      <c r="N86" s="379"/>
      <c r="O86" s="379"/>
      <c r="P86" s="379"/>
      <c r="Q86" s="379"/>
    </row>
    <row r="89" spans="1:17" x14ac:dyDescent="0.2">
      <c r="A89" s="27"/>
    </row>
    <row r="90" spans="1:17" x14ac:dyDescent="0.2">
      <c r="A90" s="31"/>
    </row>
    <row r="91" spans="1:17" x14ac:dyDescent="0.2">
      <c r="A91" s="31"/>
    </row>
    <row r="92" spans="1:17" x14ac:dyDescent="0.2">
      <c r="A92" s="31"/>
      <c r="C92" s="114"/>
    </row>
    <row r="93" spans="1:17" x14ac:dyDescent="0.2">
      <c r="A93" s="31"/>
    </row>
    <row r="94" spans="1:17" x14ac:dyDescent="0.2">
      <c r="A94" s="31"/>
    </row>
    <row r="95" spans="1:17" x14ac:dyDescent="0.2">
      <c r="A95" s="31"/>
      <c r="C95" s="114"/>
    </row>
    <row r="96" spans="1:17" x14ac:dyDescent="0.2">
      <c r="A96" s="31"/>
      <c r="C96" s="114"/>
    </row>
    <row r="97" spans="1:3" x14ac:dyDescent="0.2">
      <c r="A97" s="31"/>
    </row>
    <row r="98" spans="1:3" x14ac:dyDescent="0.2">
      <c r="A98" s="31"/>
      <c r="C98" s="114"/>
    </row>
    <row r="99" spans="1:3" x14ac:dyDescent="0.2">
      <c r="A99" s="31"/>
    </row>
    <row r="100" spans="1:3" x14ac:dyDescent="0.2">
      <c r="A100" s="31"/>
    </row>
  </sheetData>
  <mergeCells count="8">
    <mergeCell ref="A5:Q5"/>
    <mergeCell ref="I6:K6"/>
    <mergeCell ref="I7:K7"/>
    <mergeCell ref="C6:E6"/>
    <mergeCell ref="C7:E7"/>
    <mergeCell ref="F6:H6"/>
    <mergeCell ref="F7:H7"/>
    <mergeCell ref="L6:Q7"/>
  </mergeCells>
  <phoneticPr fontId="0" type="noConversion"/>
  <hyperlinks>
    <hyperlink ref="L1" location="'Table of Contents'!A1" display="Back to Table Of Contents" xr:uid="{00000000-0004-0000-0200-000000000000}"/>
  </hyperlinks>
  <pageMargins left="0.5" right="0.5" top="0.5" bottom="0.5" header="0.5" footer="0.25"/>
  <pageSetup scale="61" orientation="landscape" r:id="rId1"/>
  <headerFooter alignWithMargins="0">
    <oddHeader>&amp;ROctober 2022</oddHeader>
    <oddFooter>&amp;CPage &amp;P of &amp;N&amp;R&amp;8&amp;F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26A90-04F6-4745-B1E5-73C749915325}">
  <sheetPr codeName="Sheet4">
    <tabColor theme="6"/>
  </sheetPr>
  <dimension ref="A1:V102"/>
  <sheetViews>
    <sheetView zoomScale="90" zoomScaleNormal="90" zoomScaleSheetLayoutView="80" zoomScalePageLayoutView="80" workbookViewId="0">
      <pane ySplit="7" topLeftCell="A72" activePane="bottomLeft" state="frozen"/>
      <selection activeCell="A114" sqref="A114:XFD114"/>
      <selection pane="bottomLeft" activeCell="I4" sqref="I4"/>
    </sheetView>
  </sheetViews>
  <sheetFormatPr defaultColWidth="9.140625" defaultRowHeight="12.75" x14ac:dyDescent="0.2"/>
  <cols>
    <col min="1" max="1" width="5.5703125" style="29" customWidth="1"/>
    <col min="2" max="2" width="8.7109375" style="29" customWidth="1"/>
    <col min="3" max="3" width="5" style="29" customWidth="1"/>
    <col min="4" max="4" width="24.5703125" style="29" customWidth="1"/>
    <col min="5" max="5" width="5.7109375" style="29" customWidth="1"/>
    <col min="6" max="7" width="5.5703125" style="29" customWidth="1"/>
    <col min="8" max="9" width="10.42578125" style="29" customWidth="1"/>
    <col min="10" max="11" width="5.7109375" style="29" customWidth="1"/>
    <col min="12" max="15" width="6.85546875" style="29" customWidth="1"/>
    <col min="16" max="17" width="7.28515625" style="29" customWidth="1"/>
    <col min="18" max="18" width="7.28515625" style="29" hidden="1" customWidth="1"/>
    <col min="19" max="20" width="7.28515625" style="29" customWidth="1"/>
    <col min="21" max="21" width="7.28515625" style="29" hidden="1" customWidth="1"/>
    <col min="22" max="22" width="4.7109375" style="29" customWidth="1"/>
    <col min="23" max="16384" width="9.140625" style="29"/>
  </cols>
  <sheetData>
    <row r="1" spans="1:22" ht="21.75" customHeight="1" x14ac:dyDescent="0.3">
      <c r="C1" s="445"/>
      <c r="I1" s="446"/>
      <c r="J1" s="446"/>
      <c r="K1" s="446"/>
      <c r="L1" s="446"/>
      <c r="M1" s="446"/>
      <c r="N1" s="446"/>
      <c r="O1" s="446"/>
      <c r="P1" s="132" t="s">
        <v>98</v>
      </c>
    </row>
    <row r="2" spans="1:22" ht="30.75" customHeight="1" x14ac:dyDescent="0.25">
      <c r="C2" s="447"/>
      <c r="I2" s="446"/>
      <c r="J2" s="446"/>
      <c r="K2" s="446"/>
      <c r="L2" s="446"/>
      <c r="M2" s="446"/>
      <c r="N2" s="446"/>
      <c r="O2" s="446"/>
    </row>
    <row r="3" spans="1:22" ht="25.5" customHeight="1" x14ac:dyDescent="0.2">
      <c r="C3" s="448"/>
      <c r="I3" s="446"/>
      <c r="J3" s="446"/>
      <c r="K3" s="446"/>
      <c r="L3" s="446"/>
      <c r="M3" s="446"/>
      <c r="N3" s="446"/>
      <c r="O3" s="446"/>
    </row>
    <row r="4" spans="1:22" ht="15.75" customHeight="1" x14ac:dyDescent="0.2">
      <c r="C4" s="448"/>
      <c r="I4" s="446"/>
      <c r="J4" s="446"/>
      <c r="K4" s="446"/>
      <c r="L4" s="446"/>
      <c r="M4" s="446"/>
      <c r="N4" s="446"/>
      <c r="O4" s="446"/>
    </row>
    <row r="5" spans="1:22" ht="28.5" customHeight="1" x14ac:dyDescent="0.2">
      <c r="A5" s="615" t="s">
        <v>119</v>
      </c>
      <c r="B5" s="615"/>
      <c r="C5" s="615"/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  <c r="O5" s="615"/>
      <c r="P5" s="615"/>
      <c r="Q5" s="615"/>
      <c r="R5" s="615"/>
      <c r="S5" s="615"/>
      <c r="T5" s="615"/>
      <c r="U5" s="615"/>
    </row>
    <row r="6" spans="1:22" s="16" customFormat="1" ht="25.5" customHeight="1" x14ac:dyDescent="0.2">
      <c r="A6" s="616" t="s">
        <v>65</v>
      </c>
      <c r="B6" s="619" t="s">
        <v>288</v>
      </c>
      <c r="C6" s="621" t="s">
        <v>118</v>
      </c>
      <c r="D6" s="623" t="s">
        <v>66</v>
      </c>
      <c r="E6" s="616" t="s">
        <v>22</v>
      </c>
      <c r="F6" s="624" t="s">
        <v>71</v>
      </c>
      <c r="G6" s="625"/>
      <c r="H6" s="623" t="s">
        <v>69</v>
      </c>
      <c r="I6" s="623" t="s">
        <v>169</v>
      </c>
      <c r="J6" s="626" t="s">
        <v>86</v>
      </c>
      <c r="K6" s="626"/>
      <c r="L6" s="627" t="s">
        <v>104</v>
      </c>
      <c r="M6" s="627"/>
      <c r="N6" s="627"/>
      <c r="O6" s="627"/>
      <c r="P6" s="627"/>
      <c r="Q6" s="627"/>
      <c r="R6" s="627"/>
      <c r="S6" s="627"/>
      <c r="T6" s="627"/>
      <c r="U6" s="563"/>
      <c r="V6" s="513"/>
    </row>
    <row r="7" spans="1:22" s="16" customFormat="1" ht="75" customHeight="1" x14ac:dyDescent="0.2">
      <c r="A7" s="616"/>
      <c r="B7" s="620"/>
      <c r="C7" s="622"/>
      <c r="D7" s="623"/>
      <c r="E7" s="616"/>
      <c r="F7" s="25" t="s">
        <v>81</v>
      </c>
      <c r="G7" s="25" t="s">
        <v>82</v>
      </c>
      <c r="H7" s="623"/>
      <c r="I7" s="623"/>
      <c r="J7" s="271" t="s">
        <v>108</v>
      </c>
      <c r="K7" s="271" t="s">
        <v>109</v>
      </c>
      <c r="L7" s="269" t="s">
        <v>88</v>
      </c>
      <c r="M7" s="270" t="s">
        <v>93</v>
      </c>
      <c r="N7" s="269" t="s">
        <v>89</v>
      </c>
      <c r="O7" s="269" t="s">
        <v>92</v>
      </c>
      <c r="P7" s="269" t="s">
        <v>667</v>
      </c>
      <c r="Q7" s="269" t="s">
        <v>90</v>
      </c>
      <c r="R7" s="269" t="s">
        <v>91</v>
      </c>
      <c r="S7" s="269" t="s">
        <v>668</v>
      </c>
      <c r="T7" s="269" t="s">
        <v>669</v>
      </c>
      <c r="U7" s="269" t="s">
        <v>172</v>
      </c>
    </row>
    <row r="8" spans="1:22" x14ac:dyDescent="0.2">
      <c r="A8" s="218" t="s">
        <v>1435</v>
      </c>
      <c r="B8" s="218" t="s">
        <v>218</v>
      </c>
      <c r="C8" s="449" t="s">
        <v>68</v>
      </c>
      <c r="D8" s="450" t="s">
        <v>328</v>
      </c>
      <c r="E8" s="451">
        <f t="shared" ref="E8:E20" si="0">F8+G8</f>
        <v>11</v>
      </c>
      <c r="F8" s="451">
        <v>9</v>
      </c>
      <c r="G8" s="451">
        <v>2</v>
      </c>
      <c r="H8" s="452">
        <f t="shared" ref="H8:H21" si="1">E8/$E$99</f>
        <v>3.7137069547602971E-3</v>
      </c>
      <c r="I8" s="452">
        <f t="shared" ref="I8:I21" si="2">E8/$E$97</f>
        <v>4.121393780442113E-3</v>
      </c>
      <c r="J8" s="451">
        <v>8</v>
      </c>
      <c r="K8" s="451">
        <v>3</v>
      </c>
      <c r="L8" s="451">
        <v>2</v>
      </c>
      <c r="M8" s="451">
        <v>3</v>
      </c>
      <c r="N8" s="451">
        <v>2</v>
      </c>
      <c r="O8" s="451">
        <v>4</v>
      </c>
      <c r="P8" s="451" t="s">
        <v>117</v>
      </c>
      <c r="Q8" s="451" t="s">
        <v>117</v>
      </c>
      <c r="R8" s="451"/>
      <c r="S8" s="451" t="s">
        <v>117</v>
      </c>
      <c r="T8" s="451" t="s">
        <v>117</v>
      </c>
      <c r="U8" s="451" t="s">
        <v>117</v>
      </c>
    </row>
    <row r="9" spans="1:22" x14ac:dyDescent="0.2">
      <c r="A9" s="218" t="s">
        <v>1435</v>
      </c>
      <c r="B9" s="218" t="s">
        <v>218</v>
      </c>
      <c r="C9" s="449" t="s">
        <v>68</v>
      </c>
      <c r="D9" s="450" t="s">
        <v>372</v>
      </c>
      <c r="E9" s="451">
        <f t="shared" si="0"/>
        <v>18</v>
      </c>
      <c r="F9" s="451">
        <v>16</v>
      </c>
      <c r="G9" s="451">
        <v>2</v>
      </c>
      <c r="H9" s="452">
        <f t="shared" si="1"/>
        <v>6.0769750168804858E-3</v>
      </c>
      <c r="I9" s="452">
        <f t="shared" si="2"/>
        <v>6.7440989134507304E-3</v>
      </c>
      <c r="J9" s="451">
        <v>10</v>
      </c>
      <c r="K9" s="451">
        <v>8</v>
      </c>
      <c r="L9" s="451">
        <v>5</v>
      </c>
      <c r="M9" s="451">
        <v>2</v>
      </c>
      <c r="N9" s="451">
        <v>4</v>
      </c>
      <c r="O9" s="451">
        <v>7</v>
      </c>
      <c r="P9" s="451" t="s">
        <v>117</v>
      </c>
      <c r="Q9" s="451" t="s">
        <v>117</v>
      </c>
      <c r="R9" s="451"/>
      <c r="S9" s="451" t="s">
        <v>117</v>
      </c>
      <c r="T9" s="451" t="s">
        <v>117</v>
      </c>
      <c r="U9" s="451" t="s">
        <v>117</v>
      </c>
    </row>
    <row r="10" spans="1:22" x14ac:dyDescent="0.2">
      <c r="A10" s="218" t="s">
        <v>1435</v>
      </c>
      <c r="B10" s="218" t="s">
        <v>218</v>
      </c>
      <c r="C10" s="449" t="s">
        <v>68</v>
      </c>
      <c r="D10" s="450" t="s">
        <v>360</v>
      </c>
      <c r="E10" s="451">
        <f t="shared" si="0"/>
        <v>51</v>
      </c>
      <c r="F10" s="451">
        <v>30</v>
      </c>
      <c r="G10" s="451">
        <v>21</v>
      </c>
      <c r="H10" s="452">
        <f t="shared" si="1"/>
        <v>1.7218095881161376E-2</v>
      </c>
      <c r="I10" s="452">
        <f t="shared" si="2"/>
        <v>1.9108280254777069E-2</v>
      </c>
      <c r="J10" s="451">
        <v>45</v>
      </c>
      <c r="K10" s="451">
        <v>6</v>
      </c>
      <c r="L10" s="451">
        <v>12</v>
      </c>
      <c r="M10" s="451">
        <v>5</v>
      </c>
      <c r="N10" s="451">
        <v>14</v>
      </c>
      <c r="O10" s="451">
        <v>20</v>
      </c>
      <c r="P10" s="451" t="s">
        <v>117</v>
      </c>
      <c r="Q10" s="451" t="s">
        <v>117</v>
      </c>
      <c r="R10" s="451"/>
      <c r="S10" s="451" t="s">
        <v>117</v>
      </c>
      <c r="T10" s="451" t="s">
        <v>117</v>
      </c>
      <c r="U10" s="451" t="s">
        <v>117</v>
      </c>
    </row>
    <row r="11" spans="1:22" x14ac:dyDescent="0.2">
      <c r="A11" s="218" t="s">
        <v>1435</v>
      </c>
      <c r="B11" s="218" t="s">
        <v>218</v>
      </c>
      <c r="C11" s="449" t="s">
        <v>68</v>
      </c>
      <c r="D11" s="450" t="s">
        <v>371</v>
      </c>
      <c r="E11" s="451">
        <f t="shared" si="0"/>
        <v>38</v>
      </c>
      <c r="F11" s="451">
        <v>21</v>
      </c>
      <c r="G11" s="451">
        <v>17</v>
      </c>
      <c r="H11" s="452">
        <f t="shared" si="1"/>
        <v>1.2829169480081027E-2</v>
      </c>
      <c r="I11" s="452">
        <f t="shared" si="2"/>
        <v>1.4237542150618209E-2</v>
      </c>
      <c r="J11" s="451">
        <v>26</v>
      </c>
      <c r="K11" s="451">
        <v>12</v>
      </c>
      <c r="L11" s="451">
        <v>8</v>
      </c>
      <c r="M11" s="451">
        <v>7</v>
      </c>
      <c r="N11" s="451">
        <v>8</v>
      </c>
      <c r="O11" s="451">
        <v>15</v>
      </c>
      <c r="P11" s="451" t="s">
        <v>117</v>
      </c>
      <c r="Q11" s="451" t="s">
        <v>117</v>
      </c>
      <c r="R11" s="451"/>
      <c r="S11" s="451" t="s">
        <v>117</v>
      </c>
      <c r="T11" s="451" t="s">
        <v>117</v>
      </c>
      <c r="U11" s="451" t="s">
        <v>117</v>
      </c>
    </row>
    <row r="12" spans="1:22" x14ac:dyDescent="0.2">
      <c r="A12" s="218" t="s">
        <v>1435</v>
      </c>
      <c r="B12" s="218" t="s">
        <v>218</v>
      </c>
      <c r="C12" s="449" t="s">
        <v>68</v>
      </c>
      <c r="D12" s="450" t="s">
        <v>362</v>
      </c>
      <c r="E12" s="451">
        <f t="shared" si="0"/>
        <v>45</v>
      </c>
      <c r="F12" s="451">
        <v>25</v>
      </c>
      <c r="G12" s="451">
        <v>20</v>
      </c>
      <c r="H12" s="452">
        <f t="shared" si="1"/>
        <v>1.5192437542201216E-2</v>
      </c>
      <c r="I12" s="452">
        <f t="shared" si="2"/>
        <v>1.6860247283626825E-2</v>
      </c>
      <c r="J12" s="451">
        <v>36</v>
      </c>
      <c r="K12" s="451">
        <v>9</v>
      </c>
      <c r="L12" s="451">
        <v>11</v>
      </c>
      <c r="M12" s="451">
        <v>13</v>
      </c>
      <c r="N12" s="451">
        <v>13</v>
      </c>
      <c r="O12" s="451">
        <v>8</v>
      </c>
      <c r="P12" s="451" t="s">
        <v>117</v>
      </c>
      <c r="Q12" s="451" t="s">
        <v>117</v>
      </c>
      <c r="R12" s="451"/>
      <c r="S12" s="451" t="s">
        <v>117</v>
      </c>
      <c r="T12" s="451" t="s">
        <v>117</v>
      </c>
      <c r="U12" s="451" t="s">
        <v>117</v>
      </c>
    </row>
    <row r="13" spans="1:22" x14ac:dyDescent="0.2">
      <c r="A13" s="218" t="s">
        <v>1435</v>
      </c>
      <c r="B13" s="218" t="s">
        <v>218</v>
      </c>
      <c r="C13" s="449" t="s">
        <v>68</v>
      </c>
      <c r="D13" s="450" t="s">
        <v>363</v>
      </c>
      <c r="E13" s="451">
        <f t="shared" si="0"/>
        <v>10</v>
      </c>
      <c r="F13" s="451">
        <v>3</v>
      </c>
      <c r="G13" s="451">
        <v>7</v>
      </c>
      <c r="H13" s="452">
        <f t="shared" si="1"/>
        <v>3.37609723160027E-3</v>
      </c>
      <c r="I13" s="452">
        <f t="shared" si="2"/>
        <v>3.7467216185837391E-3</v>
      </c>
      <c r="J13" s="451">
        <v>4</v>
      </c>
      <c r="K13" s="451">
        <v>6</v>
      </c>
      <c r="L13" s="451">
        <v>3</v>
      </c>
      <c r="M13" s="451">
        <v>4</v>
      </c>
      <c r="N13" s="451">
        <v>1</v>
      </c>
      <c r="O13" s="451">
        <v>2</v>
      </c>
      <c r="P13" s="451" t="s">
        <v>117</v>
      </c>
      <c r="Q13" s="451" t="s">
        <v>117</v>
      </c>
      <c r="R13" s="451"/>
      <c r="S13" s="451" t="s">
        <v>117</v>
      </c>
      <c r="T13" s="451" t="s">
        <v>117</v>
      </c>
      <c r="U13" s="451" t="s">
        <v>117</v>
      </c>
    </row>
    <row r="14" spans="1:22" x14ac:dyDescent="0.2">
      <c r="A14" s="218" t="s">
        <v>1435</v>
      </c>
      <c r="B14" s="218" t="s">
        <v>218</v>
      </c>
      <c r="C14" s="449" t="s">
        <v>68</v>
      </c>
      <c r="D14" s="450" t="s">
        <v>364</v>
      </c>
      <c r="E14" s="451">
        <f t="shared" si="0"/>
        <v>8</v>
      </c>
      <c r="F14" s="451">
        <v>2</v>
      </c>
      <c r="G14" s="451">
        <v>6</v>
      </c>
      <c r="H14" s="452">
        <f t="shared" si="1"/>
        <v>2.7008777852802163E-3</v>
      </c>
      <c r="I14" s="452">
        <f t="shared" si="2"/>
        <v>2.9973772948669914E-3</v>
      </c>
      <c r="J14" s="451">
        <v>3</v>
      </c>
      <c r="K14" s="451">
        <v>5</v>
      </c>
      <c r="L14" s="451">
        <v>2</v>
      </c>
      <c r="M14" s="451">
        <v>1</v>
      </c>
      <c r="N14" s="451">
        <v>3</v>
      </c>
      <c r="O14" s="451">
        <v>2</v>
      </c>
      <c r="P14" s="451" t="s">
        <v>117</v>
      </c>
      <c r="Q14" s="451" t="s">
        <v>117</v>
      </c>
      <c r="R14" s="451"/>
      <c r="S14" s="451" t="s">
        <v>117</v>
      </c>
      <c r="T14" s="451" t="s">
        <v>117</v>
      </c>
      <c r="U14" s="451" t="s">
        <v>117</v>
      </c>
    </row>
    <row r="15" spans="1:22" x14ac:dyDescent="0.2">
      <c r="A15" s="218" t="s">
        <v>1435</v>
      </c>
      <c r="B15" s="218" t="s">
        <v>218</v>
      </c>
      <c r="C15" s="449" t="s">
        <v>68</v>
      </c>
      <c r="D15" s="450" t="s">
        <v>365</v>
      </c>
      <c r="E15" s="451">
        <f t="shared" si="0"/>
        <v>10</v>
      </c>
      <c r="F15" s="451">
        <v>2</v>
      </c>
      <c r="G15" s="451">
        <v>8</v>
      </c>
      <c r="H15" s="452">
        <f t="shared" si="1"/>
        <v>3.37609723160027E-3</v>
      </c>
      <c r="I15" s="452">
        <f t="shared" si="2"/>
        <v>3.7467216185837391E-3</v>
      </c>
      <c r="J15" s="451">
        <v>7</v>
      </c>
      <c r="K15" s="451">
        <v>3</v>
      </c>
      <c r="L15" s="451">
        <v>2</v>
      </c>
      <c r="M15" s="451">
        <v>2</v>
      </c>
      <c r="N15" s="451">
        <v>3</v>
      </c>
      <c r="O15" s="451">
        <v>3</v>
      </c>
      <c r="P15" s="451" t="s">
        <v>117</v>
      </c>
      <c r="Q15" s="451" t="s">
        <v>117</v>
      </c>
      <c r="R15" s="451"/>
      <c r="S15" s="451" t="s">
        <v>117</v>
      </c>
      <c r="T15" s="451" t="s">
        <v>117</v>
      </c>
      <c r="U15" s="451" t="s">
        <v>117</v>
      </c>
    </row>
    <row r="16" spans="1:22" x14ac:dyDescent="0.2">
      <c r="A16" s="218" t="s">
        <v>1435</v>
      </c>
      <c r="B16" s="218" t="s">
        <v>218</v>
      </c>
      <c r="C16" s="449" t="s">
        <v>68</v>
      </c>
      <c r="D16" s="450" t="s">
        <v>366</v>
      </c>
      <c r="E16" s="451">
        <f t="shared" si="0"/>
        <v>1</v>
      </c>
      <c r="F16" s="451">
        <v>0</v>
      </c>
      <c r="G16" s="451">
        <v>1</v>
      </c>
      <c r="H16" s="452">
        <f t="shared" si="1"/>
        <v>3.3760972316002703E-4</v>
      </c>
      <c r="I16" s="452">
        <f t="shared" si="2"/>
        <v>3.7467216185837392E-4</v>
      </c>
      <c r="J16" s="451">
        <v>0</v>
      </c>
      <c r="K16" s="451">
        <v>1</v>
      </c>
      <c r="L16" s="451"/>
      <c r="M16" s="451"/>
      <c r="N16" s="451"/>
      <c r="O16" s="451">
        <v>1</v>
      </c>
      <c r="P16" s="451" t="s">
        <v>117</v>
      </c>
      <c r="Q16" s="451" t="s">
        <v>117</v>
      </c>
      <c r="R16" s="451"/>
      <c r="S16" s="451" t="s">
        <v>117</v>
      </c>
      <c r="T16" s="451" t="s">
        <v>117</v>
      </c>
      <c r="U16" s="451" t="s">
        <v>117</v>
      </c>
    </row>
    <row r="17" spans="1:21" x14ac:dyDescent="0.2">
      <c r="A17" s="218" t="s">
        <v>1435</v>
      </c>
      <c r="B17" s="218" t="s">
        <v>218</v>
      </c>
      <c r="C17" s="449" t="s">
        <v>68</v>
      </c>
      <c r="D17" s="450" t="s">
        <v>367</v>
      </c>
      <c r="E17" s="451">
        <f t="shared" si="0"/>
        <v>6</v>
      </c>
      <c r="F17" s="451">
        <v>4</v>
      </c>
      <c r="G17" s="451">
        <v>2</v>
      </c>
      <c r="H17" s="452">
        <f t="shared" si="1"/>
        <v>2.0256583389601621E-3</v>
      </c>
      <c r="I17" s="452">
        <f t="shared" si="2"/>
        <v>2.2480329711502436E-3</v>
      </c>
      <c r="J17" s="451">
        <v>6</v>
      </c>
      <c r="K17" s="451">
        <v>0</v>
      </c>
      <c r="L17" s="451">
        <v>2</v>
      </c>
      <c r="M17" s="451">
        <v>1</v>
      </c>
      <c r="N17" s="451">
        <v>2</v>
      </c>
      <c r="O17" s="451">
        <v>1</v>
      </c>
      <c r="P17" s="451" t="s">
        <v>117</v>
      </c>
      <c r="Q17" s="451" t="s">
        <v>117</v>
      </c>
      <c r="R17" s="451"/>
      <c r="S17" s="451" t="s">
        <v>117</v>
      </c>
      <c r="T17" s="451" t="s">
        <v>117</v>
      </c>
      <c r="U17" s="451" t="s">
        <v>117</v>
      </c>
    </row>
    <row r="18" spans="1:21" x14ac:dyDescent="0.2">
      <c r="A18" s="218" t="s">
        <v>1435</v>
      </c>
      <c r="B18" s="218" t="s">
        <v>218</v>
      </c>
      <c r="C18" s="449" t="s">
        <v>68</v>
      </c>
      <c r="D18" s="450" t="s">
        <v>368</v>
      </c>
      <c r="E18" s="451">
        <f t="shared" si="0"/>
        <v>22</v>
      </c>
      <c r="F18" s="451">
        <v>13</v>
      </c>
      <c r="G18" s="451">
        <v>9</v>
      </c>
      <c r="H18" s="452">
        <f t="shared" si="1"/>
        <v>7.4274139095205942E-3</v>
      </c>
      <c r="I18" s="452">
        <f t="shared" si="2"/>
        <v>8.2427875608842259E-3</v>
      </c>
      <c r="J18" s="451">
        <v>17</v>
      </c>
      <c r="K18" s="451">
        <v>5</v>
      </c>
      <c r="L18" s="451">
        <v>7</v>
      </c>
      <c r="M18" s="451">
        <v>4</v>
      </c>
      <c r="N18" s="451">
        <v>6</v>
      </c>
      <c r="O18" s="451">
        <v>5</v>
      </c>
      <c r="P18" s="451" t="s">
        <v>117</v>
      </c>
      <c r="Q18" s="451" t="s">
        <v>117</v>
      </c>
      <c r="R18" s="451"/>
      <c r="S18" s="451" t="s">
        <v>117</v>
      </c>
      <c r="T18" s="451" t="s">
        <v>117</v>
      </c>
      <c r="U18" s="451" t="s">
        <v>117</v>
      </c>
    </row>
    <row r="19" spans="1:21" x14ac:dyDescent="0.2">
      <c r="A19" s="218" t="s">
        <v>1435</v>
      </c>
      <c r="B19" s="218" t="s">
        <v>218</v>
      </c>
      <c r="C19" s="449" t="s">
        <v>68</v>
      </c>
      <c r="D19" s="450" t="s">
        <v>369</v>
      </c>
      <c r="E19" s="451">
        <f t="shared" si="0"/>
        <v>112</v>
      </c>
      <c r="F19" s="451">
        <v>80</v>
      </c>
      <c r="G19" s="451">
        <v>32</v>
      </c>
      <c r="H19" s="452">
        <f t="shared" si="1"/>
        <v>3.7812288993923027E-2</v>
      </c>
      <c r="I19" s="452">
        <f t="shared" si="2"/>
        <v>4.196328212813788E-2</v>
      </c>
      <c r="J19" s="451">
        <v>92</v>
      </c>
      <c r="K19" s="451">
        <v>20</v>
      </c>
      <c r="L19" s="451">
        <v>47</v>
      </c>
      <c r="M19" s="451">
        <v>18</v>
      </c>
      <c r="N19" s="451">
        <v>24</v>
      </c>
      <c r="O19" s="451">
        <v>23</v>
      </c>
      <c r="P19" s="451" t="s">
        <v>117</v>
      </c>
      <c r="Q19" s="451" t="s">
        <v>117</v>
      </c>
      <c r="R19" s="451"/>
      <c r="S19" s="451" t="s">
        <v>117</v>
      </c>
      <c r="T19" s="451" t="s">
        <v>117</v>
      </c>
      <c r="U19" s="451" t="s">
        <v>117</v>
      </c>
    </row>
    <row r="20" spans="1:21" x14ac:dyDescent="0.2">
      <c r="A20" s="218" t="s">
        <v>1435</v>
      </c>
      <c r="B20" s="218" t="s">
        <v>218</v>
      </c>
      <c r="C20" s="449" t="s">
        <v>68</v>
      </c>
      <c r="D20" s="450" t="s">
        <v>370</v>
      </c>
      <c r="E20" s="451">
        <f t="shared" si="0"/>
        <v>19</v>
      </c>
      <c r="F20" s="451">
        <v>11</v>
      </c>
      <c r="G20" s="451">
        <v>8</v>
      </c>
      <c r="H20" s="452">
        <f t="shared" si="1"/>
        <v>6.4145847400405133E-3</v>
      </c>
      <c r="I20" s="452">
        <f t="shared" si="2"/>
        <v>7.1187710753091047E-3</v>
      </c>
      <c r="J20" s="451">
        <v>14</v>
      </c>
      <c r="K20" s="451">
        <v>5</v>
      </c>
      <c r="L20" s="451">
        <v>6</v>
      </c>
      <c r="M20" s="451">
        <v>2</v>
      </c>
      <c r="N20" s="451">
        <v>4</v>
      </c>
      <c r="O20" s="451">
        <v>7</v>
      </c>
      <c r="P20" s="451" t="s">
        <v>117</v>
      </c>
      <c r="Q20" s="451" t="s">
        <v>117</v>
      </c>
      <c r="R20" s="451"/>
      <c r="S20" s="451" t="s">
        <v>117</v>
      </c>
      <c r="T20" s="451" t="s">
        <v>117</v>
      </c>
      <c r="U20" s="451" t="s">
        <v>117</v>
      </c>
    </row>
    <row r="21" spans="1:21" hidden="1" x14ac:dyDescent="0.2">
      <c r="A21" s="218"/>
      <c r="B21" s="218" t="s">
        <v>218</v>
      </c>
      <c r="C21" s="449" t="s">
        <v>68</v>
      </c>
      <c r="D21" s="450"/>
      <c r="E21" s="451"/>
      <c r="F21" s="451"/>
      <c r="G21" s="451"/>
      <c r="H21" s="452">
        <f t="shared" si="1"/>
        <v>0</v>
      </c>
      <c r="I21" s="452">
        <f t="shared" si="2"/>
        <v>0</v>
      </c>
      <c r="J21" s="451"/>
      <c r="K21" s="451"/>
      <c r="L21" s="451"/>
      <c r="M21" s="451"/>
      <c r="N21" s="451"/>
      <c r="O21" s="451"/>
      <c r="P21" s="451"/>
      <c r="Q21" s="451"/>
      <c r="R21" s="451"/>
      <c r="S21" s="451"/>
      <c r="T21" s="451"/>
      <c r="U21" s="451"/>
    </row>
    <row r="22" spans="1:21" x14ac:dyDescent="0.2">
      <c r="A22" s="617" t="s">
        <v>219</v>
      </c>
      <c r="B22" s="618"/>
      <c r="C22" s="618"/>
      <c r="D22" s="618"/>
      <c r="E22" s="453">
        <f>SUM(E8:E21)</f>
        <v>351</v>
      </c>
      <c r="F22" s="453">
        <f t="shared" ref="F22:G22" si="3">SUM(F8:F21)</f>
        <v>216</v>
      </c>
      <c r="G22" s="453">
        <f t="shared" si="3"/>
        <v>135</v>
      </c>
      <c r="H22" s="454">
        <f>SUM(H8:H21)</f>
        <v>0.11850101282916947</v>
      </c>
      <c r="I22" s="454">
        <f>SUM(I8:I21)</f>
        <v>0.13150992881228923</v>
      </c>
      <c r="J22" s="453">
        <f>SUM(J8:J21)</f>
        <v>268</v>
      </c>
      <c r="K22" s="453">
        <f>SUM(K8:K21)</f>
        <v>83</v>
      </c>
      <c r="L22" s="453">
        <f t="shared" ref="L22:U22" si="4">SUM(L8:L21)</f>
        <v>107</v>
      </c>
      <c r="M22" s="453">
        <f t="shared" si="4"/>
        <v>62</v>
      </c>
      <c r="N22" s="453">
        <f t="shared" si="4"/>
        <v>84</v>
      </c>
      <c r="O22" s="453">
        <f t="shared" si="4"/>
        <v>98</v>
      </c>
      <c r="P22" s="453">
        <f t="shared" si="4"/>
        <v>0</v>
      </c>
      <c r="Q22" s="453">
        <f t="shared" si="4"/>
        <v>0</v>
      </c>
      <c r="R22" s="453">
        <f t="shared" si="4"/>
        <v>0</v>
      </c>
      <c r="S22" s="453">
        <f t="shared" si="4"/>
        <v>0</v>
      </c>
      <c r="T22" s="453">
        <f t="shared" si="4"/>
        <v>0</v>
      </c>
      <c r="U22" s="453">
        <f t="shared" si="4"/>
        <v>0</v>
      </c>
    </row>
    <row r="23" spans="1:21" x14ac:dyDescent="0.2">
      <c r="A23" s="218" t="s">
        <v>1435</v>
      </c>
      <c r="B23" s="218" t="s">
        <v>218</v>
      </c>
      <c r="C23" s="449" t="s">
        <v>67</v>
      </c>
      <c r="D23" s="450" t="s">
        <v>373</v>
      </c>
      <c r="E23" s="451">
        <f t="shared" ref="E23:E25" si="5">F23+G23</f>
        <v>14</v>
      </c>
      <c r="F23" s="451">
        <v>11</v>
      </c>
      <c r="G23" s="451">
        <v>3</v>
      </c>
      <c r="H23" s="452">
        <f>E23/$E$99</f>
        <v>4.7265361242403783E-3</v>
      </c>
      <c r="I23" s="452">
        <f>E23/$E$98</f>
        <v>4.778156996587031E-2</v>
      </c>
      <c r="J23" s="451">
        <v>8</v>
      </c>
      <c r="K23" s="451">
        <v>6</v>
      </c>
      <c r="L23" s="451" t="s">
        <v>117</v>
      </c>
      <c r="M23" s="451" t="s">
        <v>117</v>
      </c>
      <c r="N23" s="451" t="s">
        <v>117</v>
      </c>
      <c r="O23" s="451" t="s">
        <v>117</v>
      </c>
      <c r="P23" s="451" t="s">
        <v>117</v>
      </c>
      <c r="Q23" s="451" t="s">
        <v>117</v>
      </c>
      <c r="R23" s="451"/>
      <c r="S23" s="451">
        <v>14</v>
      </c>
      <c r="T23" s="451">
        <v>0</v>
      </c>
      <c r="U23" s="451"/>
    </row>
    <row r="24" spans="1:21" x14ac:dyDescent="0.2">
      <c r="A24" s="218" t="s">
        <v>1435</v>
      </c>
      <c r="B24" s="218" t="s">
        <v>218</v>
      </c>
      <c r="C24" s="449" t="s">
        <v>67</v>
      </c>
      <c r="D24" s="450" t="s">
        <v>371</v>
      </c>
      <c r="E24" s="451">
        <f t="shared" si="5"/>
        <v>11</v>
      </c>
      <c r="F24" s="451">
        <v>7</v>
      </c>
      <c r="G24" s="451">
        <v>4</v>
      </c>
      <c r="H24" s="452">
        <f>E24/$E$99</f>
        <v>3.7137069547602971E-3</v>
      </c>
      <c r="I24" s="452">
        <f>E24/$E$98</f>
        <v>3.7542662116040959E-2</v>
      </c>
      <c r="J24" s="451">
        <v>1</v>
      </c>
      <c r="K24" s="451">
        <v>10</v>
      </c>
      <c r="L24" s="451" t="s">
        <v>117</v>
      </c>
      <c r="M24" s="451" t="s">
        <v>117</v>
      </c>
      <c r="N24" s="451" t="s">
        <v>117</v>
      </c>
      <c r="O24" s="451" t="s">
        <v>117</v>
      </c>
      <c r="P24" s="451" t="s">
        <v>117</v>
      </c>
      <c r="Q24" s="451" t="s">
        <v>117</v>
      </c>
      <c r="R24" s="451"/>
      <c r="S24" s="451">
        <v>11</v>
      </c>
      <c r="T24" s="451">
        <v>0</v>
      </c>
      <c r="U24" s="451"/>
    </row>
    <row r="25" spans="1:21" x14ac:dyDescent="0.2">
      <c r="A25" s="218" t="s">
        <v>1435</v>
      </c>
      <c r="B25" s="218" t="s">
        <v>218</v>
      </c>
      <c r="C25" s="449" t="s">
        <v>67</v>
      </c>
      <c r="D25" s="450" t="s">
        <v>374</v>
      </c>
      <c r="E25" s="451">
        <f t="shared" si="5"/>
        <v>17</v>
      </c>
      <c r="F25" s="451">
        <v>11</v>
      </c>
      <c r="G25" s="451">
        <v>6</v>
      </c>
      <c r="H25" s="452">
        <f>E25/$E$99</f>
        <v>5.7393652937204592E-3</v>
      </c>
      <c r="I25" s="452">
        <f>E25/$E$98</f>
        <v>5.8020477815699661E-2</v>
      </c>
      <c r="J25" s="451">
        <v>3</v>
      </c>
      <c r="K25" s="451">
        <v>14</v>
      </c>
      <c r="L25" s="451" t="s">
        <v>117</v>
      </c>
      <c r="M25" s="451" t="s">
        <v>117</v>
      </c>
      <c r="N25" s="451" t="s">
        <v>117</v>
      </c>
      <c r="O25" s="451" t="s">
        <v>117</v>
      </c>
      <c r="P25" s="451" t="s">
        <v>117</v>
      </c>
      <c r="Q25" s="451" t="s">
        <v>117</v>
      </c>
      <c r="R25" s="451"/>
      <c r="S25" s="451">
        <v>14</v>
      </c>
      <c r="T25" s="451">
        <v>3</v>
      </c>
      <c r="U25" s="451"/>
    </row>
    <row r="26" spans="1:21" hidden="1" x14ac:dyDescent="0.2">
      <c r="A26" s="218"/>
      <c r="B26" s="218" t="s">
        <v>218</v>
      </c>
      <c r="C26" s="449" t="s">
        <v>67</v>
      </c>
      <c r="D26" s="450"/>
      <c r="E26" s="451"/>
      <c r="F26" s="451"/>
      <c r="G26" s="451"/>
      <c r="H26" s="452">
        <f>E26/$E$99</f>
        <v>0</v>
      </c>
      <c r="I26" s="452">
        <f>E26/$E$98</f>
        <v>0</v>
      </c>
      <c r="J26" s="451"/>
      <c r="K26" s="451"/>
      <c r="L26" s="451"/>
      <c r="M26" s="451"/>
      <c r="N26" s="451"/>
      <c r="O26" s="451"/>
      <c r="P26" s="451"/>
      <c r="Q26" s="451"/>
      <c r="R26" s="451"/>
      <c r="S26" s="451"/>
      <c r="T26" s="451"/>
      <c r="U26" s="451"/>
    </row>
    <row r="27" spans="1:21" x14ac:dyDescent="0.2">
      <c r="A27" s="630" t="s">
        <v>220</v>
      </c>
      <c r="B27" s="631"/>
      <c r="C27" s="631"/>
      <c r="D27" s="631"/>
      <c r="E27" s="453">
        <f>SUM(E23:E26)</f>
        <v>42</v>
      </c>
      <c r="F27" s="453">
        <f t="shared" ref="F27:G27" si="6">SUM(F23:F26)</f>
        <v>29</v>
      </c>
      <c r="G27" s="453">
        <f t="shared" si="6"/>
        <v>13</v>
      </c>
      <c r="H27" s="454">
        <f>SUM(H23:H26)</f>
        <v>1.4179608372721135E-2</v>
      </c>
      <c r="I27" s="454">
        <f>SUM(I23:I26)</f>
        <v>0.14334470989761094</v>
      </c>
      <c r="J27" s="453">
        <f>SUM(J23:J26)</f>
        <v>12</v>
      </c>
      <c r="K27" s="453">
        <f t="shared" ref="K27:U27" si="7">SUM(K23:K26)</f>
        <v>30</v>
      </c>
      <c r="L27" s="453">
        <f t="shared" si="7"/>
        <v>0</v>
      </c>
      <c r="M27" s="453">
        <f t="shared" si="7"/>
        <v>0</v>
      </c>
      <c r="N27" s="453">
        <f t="shared" si="7"/>
        <v>0</v>
      </c>
      <c r="O27" s="453">
        <f t="shared" si="7"/>
        <v>0</v>
      </c>
      <c r="P27" s="453">
        <f t="shared" si="7"/>
        <v>0</v>
      </c>
      <c r="Q27" s="453">
        <f t="shared" si="7"/>
        <v>0</v>
      </c>
      <c r="R27" s="453">
        <f t="shared" si="7"/>
        <v>0</v>
      </c>
      <c r="S27" s="453">
        <f t="shared" si="7"/>
        <v>39</v>
      </c>
      <c r="T27" s="453">
        <f t="shared" si="7"/>
        <v>3</v>
      </c>
      <c r="U27" s="453">
        <f t="shared" si="7"/>
        <v>0</v>
      </c>
    </row>
    <row r="28" spans="1:21" x14ac:dyDescent="0.2">
      <c r="A28" s="628" t="s">
        <v>221</v>
      </c>
      <c r="B28" s="629"/>
      <c r="C28" s="629"/>
      <c r="D28" s="629"/>
      <c r="E28" s="455">
        <f>E22+E27</f>
        <v>393</v>
      </c>
      <c r="F28" s="455">
        <f>F22+F27</f>
        <v>245</v>
      </c>
      <c r="G28" s="455">
        <f>G22+G27</f>
        <v>148</v>
      </c>
      <c r="H28" s="456">
        <f>H22+H27</f>
        <v>0.13268062120189061</v>
      </c>
      <c r="I28" s="457"/>
      <c r="J28" s="455">
        <f t="shared" ref="J28:U28" si="8">J22+J27</f>
        <v>280</v>
      </c>
      <c r="K28" s="455">
        <f t="shared" si="8"/>
        <v>113</v>
      </c>
      <c r="L28" s="455">
        <f>L22+L27</f>
        <v>107</v>
      </c>
      <c r="M28" s="455">
        <f t="shared" si="8"/>
        <v>62</v>
      </c>
      <c r="N28" s="455">
        <f t="shared" si="8"/>
        <v>84</v>
      </c>
      <c r="O28" s="455">
        <f t="shared" si="8"/>
        <v>98</v>
      </c>
      <c r="P28" s="455">
        <f t="shared" si="8"/>
        <v>0</v>
      </c>
      <c r="Q28" s="455">
        <f t="shared" si="8"/>
        <v>0</v>
      </c>
      <c r="R28" s="455">
        <f t="shared" si="8"/>
        <v>0</v>
      </c>
      <c r="S28" s="455">
        <f t="shared" si="8"/>
        <v>39</v>
      </c>
      <c r="T28" s="455">
        <f t="shared" si="8"/>
        <v>3</v>
      </c>
      <c r="U28" s="455">
        <f t="shared" si="8"/>
        <v>0</v>
      </c>
    </row>
    <row r="29" spans="1:21" ht="3" customHeight="1" x14ac:dyDescent="0.25">
      <c r="A29" s="458"/>
      <c r="B29" s="458"/>
      <c r="C29" s="458"/>
      <c r="D29" s="458"/>
      <c r="E29" s="451">
        <f t="shared" ref="E29:E42" si="9">F29+G29</f>
        <v>0</v>
      </c>
      <c r="F29" s="458"/>
      <c r="G29" s="458"/>
      <c r="H29" s="458"/>
      <c r="I29" s="458"/>
      <c r="J29" s="458"/>
      <c r="K29" s="458"/>
      <c r="L29" s="458"/>
      <c r="M29" s="458"/>
      <c r="N29" s="458"/>
      <c r="O29" s="458"/>
      <c r="P29" s="458"/>
      <c r="Q29" s="458"/>
      <c r="R29" s="458"/>
      <c r="S29" s="458"/>
      <c r="T29" s="458"/>
      <c r="U29" s="458"/>
    </row>
    <row r="30" spans="1:21" x14ac:dyDescent="0.2">
      <c r="A30" s="218" t="s">
        <v>1435</v>
      </c>
      <c r="B30" s="459" t="s">
        <v>222</v>
      </c>
      <c r="C30" s="460" t="s">
        <v>68</v>
      </c>
      <c r="D30" s="450" t="s">
        <v>384</v>
      </c>
      <c r="E30" s="451">
        <f t="shared" si="9"/>
        <v>51</v>
      </c>
      <c r="F30" s="451">
        <v>25</v>
      </c>
      <c r="G30" s="451">
        <v>26</v>
      </c>
      <c r="H30" s="452">
        <f t="shared" ref="H30:H38" si="10">E30/$E$99</f>
        <v>1.7218095881161376E-2</v>
      </c>
      <c r="I30" s="452">
        <f t="shared" ref="I30:I38" si="11">E30/$E$97</f>
        <v>1.9108280254777069E-2</v>
      </c>
      <c r="J30" s="451">
        <v>33</v>
      </c>
      <c r="K30" s="451">
        <v>18</v>
      </c>
      <c r="L30" s="451">
        <v>11</v>
      </c>
      <c r="M30" s="451">
        <v>11</v>
      </c>
      <c r="N30" s="451">
        <v>14</v>
      </c>
      <c r="O30" s="451">
        <v>15</v>
      </c>
      <c r="P30" s="451" t="s">
        <v>117</v>
      </c>
      <c r="Q30" s="451" t="s">
        <v>117</v>
      </c>
      <c r="R30" s="451" t="s">
        <v>117</v>
      </c>
      <c r="S30" s="451" t="s">
        <v>117</v>
      </c>
      <c r="T30" s="451" t="s">
        <v>117</v>
      </c>
      <c r="U30" s="451"/>
    </row>
    <row r="31" spans="1:21" x14ac:dyDescent="0.2">
      <c r="A31" s="218" t="s">
        <v>1435</v>
      </c>
      <c r="B31" s="459" t="s">
        <v>222</v>
      </c>
      <c r="C31" s="460" t="s">
        <v>68</v>
      </c>
      <c r="D31" s="450" t="s">
        <v>375</v>
      </c>
      <c r="E31" s="451">
        <f t="shared" si="9"/>
        <v>216</v>
      </c>
      <c r="F31" s="451">
        <v>152</v>
      </c>
      <c r="G31" s="451">
        <v>64</v>
      </c>
      <c r="H31" s="452">
        <f t="shared" si="10"/>
        <v>7.2923700202565833E-2</v>
      </c>
      <c r="I31" s="452">
        <f t="shared" si="11"/>
        <v>8.0929186961408772E-2</v>
      </c>
      <c r="J31" s="451">
        <v>173</v>
      </c>
      <c r="K31" s="451">
        <v>43</v>
      </c>
      <c r="L31" s="451">
        <v>56</v>
      </c>
      <c r="M31" s="451">
        <v>59</v>
      </c>
      <c r="N31" s="451">
        <v>39</v>
      </c>
      <c r="O31" s="451">
        <v>62</v>
      </c>
      <c r="P31" s="451" t="s">
        <v>117</v>
      </c>
      <c r="Q31" s="451" t="s">
        <v>117</v>
      </c>
      <c r="R31" s="451" t="s">
        <v>117</v>
      </c>
      <c r="S31" s="451" t="s">
        <v>117</v>
      </c>
      <c r="T31" s="451" t="s">
        <v>117</v>
      </c>
      <c r="U31" s="451"/>
    </row>
    <row r="32" spans="1:21" x14ac:dyDescent="0.2">
      <c r="A32" s="218" t="s">
        <v>1435</v>
      </c>
      <c r="B32" s="459" t="s">
        <v>222</v>
      </c>
      <c r="C32" s="460" t="s">
        <v>68</v>
      </c>
      <c r="D32" s="450" t="s">
        <v>376</v>
      </c>
      <c r="E32" s="451">
        <f t="shared" si="9"/>
        <v>42</v>
      </c>
      <c r="F32" s="451">
        <v>25</v>
      </c>
      <c r="G32" s="451">
        <v>17</v>
      </c>
      <c r="H32" s="452">
        <f t="shared" si="10"/>
        <v>1.4179608372721135E-2</v>
      </c>
      <c r="I32" s="452">
        <f t="shared" si="11"/>
        <v>1.5736230798051705E-2</v>
      </c>
      <c r="J32" s="451">
        <v>39</v>
      </c>
      <c r="K32" s="451">
        <v>3</v>
      </c>
      <c r="L32" s="451">
        <v>19</v>
      </c>
      <c r="M32" s="451">
        <v>7</v>
      </c>
      <c r="N32" s="451">
        <v>5</v>
      </c>
      <c r="O32" s="451">
        <v>11</v>
      </c>
      <c r="P32" s="451" t="s">
        <v>117</v>
      </c>
      <c r="Q32" s="451" t="s">
        <v>117</v>
      </c>
      <c r="R32" s="451" t="s">
        <v>117</v>
      </c>
      <c r="S32" s="451" t="s">
        <v>117</v>
      </c>
      <c r="T32" s="451" t="s">
        <v>117</v>
      </c>
      <c r="U32" s="451"/>
    </row>
    <row r="33" spans="1:21" x14ac:dyDescent="0.2">
      <c r="A33" s="218" t="s">
        <v>1435</v>
      </c>
      <c r="B33" s="459" t="s">
        <v>222</v>
      </c>
      <c r="C33" s="460" t="s">
        <v>68</v>
      </c>
      <c r="D33" s="450" t="s">
        <v>385</v>
      </c>
      <c r="E33" s="451">
        <f t="shared" si="9"/>
        <v>4</v>
      </c>
      <c r="F33" s="451">
        <v>1</v>
      </c>
      <c r="G33" s="451">
        <v>3</v>
      </c>
      <c r="H33" s="452">
        <f t="shared" si="10"/>
        <v>1.3504388926401081E-3</v>
      </c>
      <c r="I33" s="452">
        <f t="shared" si="11"/>
        <v>1.4986886474334957E-3</v>
      </c>
      <c r="J33" s="451">
        <v>3</v>
      </c>
      <c r="K33" s="451">
        <v>1</v>
      </c>
      <c r="L33" s="451">
        <v>0</v>
      </c>
      <c r="M33" s="451">
        <v>0</v>
      </c>
      <c r="N33" s="451">
        <v>0</v>
      </c>
      <c r="O33" s="451">
        <v>4</v>
      </c>
      <c r="P33" s="451" t="s">
        <v>117</v>
      </c>
      <c r="Q33" s="451" t="s">
        <v>117</v>
      </c>
      <c r="R33" s="451" t="s">
        <v>117</v>
      </c>
      <c r="S33" s="451" t="s">
        <v>117</v>
      </c>
      <c r="T33" s="451" t="s">
        <v>117</v>
      </c>
      <c r="U33" s="451"/>
    </row>
    <row r="34" spans="1:21" x14ac:dyDescent="0.2">
      <c r="A34" s="218" t="s">
        <v>1435</v>
      </c>
      <c r="B34" s="459" t="s">
        <v>222</v>
      </c>
      <c r="C34" s="460" t="s">
        <v>68</v>
      </c>
      <c r="D34" s="450" t="s">
        <v>377</v>
      </c>
      <c r="E34" s="451">
        <f t="shared" si="9"/>
        <v>15</v>
      </c>
      <c r="F34" s="451">
        <v>1</v>
      </c>
      <c r="G34" s="451">
        <v>14</v>
      </c>
      <c r="H34" s="452">
        <f t="shared" si="10"/>
        <v>5.064145847400405E-3</v>
      </c>
      <c r="I34" s="452">
        <f t="shared" si="11"/>
        <v>5.6200824278756084E-3</v>
      </c>
      <c r="J34" s="451">
        <v>6</v>
      </c>
      <c r="K34" s="451">
        <v>9</v>
      </c>
      <c r="L34" s="451">
        <v>0</v>
      </c>
      <c r="M34" s="451">
        <v>1</v>
      </c>
      <c r="N34" s="451">
        <v>3</v>
      </c>
      <c r="O34" s="451">
        <v>11</v>
      </c>
      <c r="P34" s="451" t="s">
        <v>117</v>
      </c>
      <c r="Q34" s="451" t="s">
        <v>117</v>
      </c>
      <c r="R34" s="451" t="s">
        <v>117</v>
      </c>
      <c r="S34" s="451" t="s">
        <v>117</v>
      </c>
      <c r="T34" s="451" t="s">
        <v>117</v>
      </c>
      <c r="U34" s="451"/>
    </row>
    <row r="35" spans="1:21" x14ac:dyDescent="0.2">
      <c r="A35" s="218" t="s">
        <v>1435</v>
      </c>
      <c r="B35" s="459" t="s">
        <v>222</v>
      </c>
      <c r="C35" s="460" t="s">
        <v>68</v>
      </c>
      <c r="D35" s="450" t="s">
        <v>378</v>
      </c>
      <c r="E35" s="451">
        <f t="shared" si="9"/>
        <v>21</v>
      </c>
      <c r="F35" s="451">
        <v>7</v>
      </c>
      <c r="G35" s="451">
        <v>14</v>
      </c>
      <c r="H35" s="452">
        <f t="shared" si="10"/>
        <v>7.0898041863605675E-3</v>
      </c>
      <c r="I35" s="452">
        <f t="shared" si="11"/>
        <v>7.8681153990258525E-3</v>
      </c>
      <c r="J35" s="451">
        <v>15</v>
      </c>
      <c r="K35" s="451">
        <v>6</v>
      </c>
      <c r="L35" s="451">
        <v>3</v>
      </c>
      <c r="M35" s="451">
        <v>3</v>
      </c>
      <c r="N35" s="451">
        <v>4</v>
      </c>
      <c r="O35" s="451">
        <v>11</v>
      </c>
      <c r="P35" s="451" t="s">
        <v>117</v>
      </c>
      <c r="Q35" s="451" t="s">
        <v>117</v>
      </c>
      <c r="R35" s="451" t="s">
        <v>117</v>
      </c>
      <c r="S35" s="451" t="s">
        <v>117</v>
      </c>
      <c r="T35" s="451" t="s">
        <v>117</v>
      </c>
      <c r="U35" s="451"/>
    </row>
    <row r="36" spans="1:21" x14ac:dyDescent="0.2">
      <c r="A36" s="218" t="s">
        <v>1435</v>
      </c>
      <c r="B36" s="459" t="s">
        <v>222</v>
      </c>
      <c r="C36" s="460" t="s">
        <v>68</v>
      </c>
      <c r="D36" s="450" t="s">
        <v>380</v>
      </c>
      <c r="E36" s="451">
        <f t="shared" si="9"/>
        <v>11</v>
      </c>
      <c r="F36" s="451">
        <v>7</v>
      </c>
      <c r="G36" s="451">
        <v>4</v>
      </c>
      <c r="H36" s="452">
        <f t="shared" si="10"/>
        <v>3.7137069547602971E-3</v>
      </c>
      <c r="I36" s="452">
        <f t="shared" si="11"/>
        <v>4.121393780442113E-3</v>
      </c>
      <c r="J36" s="451">
        <v>10</v>
      </c>
      <c r="K36" s="451">
        <v>1</v>
      </c>
      <c r="L36" s="451">
        <v>6</v>
      </c>
      <c r="M36" s="451">
        <v>3</v>
      </c>
      <c r="N36" s="451">
        <v>2</v>
      </c>
      <c r="O36" s="451">
        <v>0</v>
      </c>
      <c r="P36" s="451" t="s">
        <v>117</v>
      </c>
      <c r="Q36" s="451" t="s">
        <v>117</v>
      </c>
      <c r="R36" s="451" t="s">
        <v>117</v>
      </c>
      <c r="S36" s="451" t="s">
        <v>117</v>
      </c>
      <c r="T36" s="451" t="s">
        <v>117</v>
      </c>
      <c r="U36" s="451"/>
    </row>
    <row r="37" spans="1:21" x14ac:dyDescent="0.2">
      <c r="A37" s="218" t="s">
        <v>1435</v>
      </c>
      <c r="B37" s="459" t="s">
        <v>222</v>
      </c>
      <c r="C37" s="460" t="s">
        <v>68</v>
      </c>
      <c r="D37" s="450" t="s">
        <v>381</v>
      </c>
      <c r="E37" s="451">
        <f t="shared" si="9"/>
        <v>6</v>
      </c>
      <c r="F37" s="451">
        <v>3</v>
      </c>
      <c r="G37" s="451">
        <v>3</v>
      </c>
      <c r="H37" s="452">
        <f t="shared" si="10"/>
        <v>2.0256583389601621E-3</v>
      </c>
      <c r="I37" s="452">
        <f t="shared" si="11"/>
        <v>2.2480329711502436E-3</v>
      </c>
      <c r="J37" s="451">
        <v>5</v>
      </c>
      <c r="K37" s="451">
        <v>1</v>
      </c>
      <c r="L37" s="451">
        <v>4</v>
      </c>
      <c r="M37" s="451">
        <v>2</v>
      </c>
      <c r="N37" s="451">
        <v>0</v>
      </c>
      <c r="O37" s="451">
        <v>0</v>
      </c>
      <c r="P37" s="451" t="s">
        <v>117</v>
      </c>
      <c r="Q37" s="451" t="s">
        <v>117</v>
      </c>
      <c r="R37" s="451" t="s">
        <v>117</v>
      </c>
      <c r="S37" s="451" t="s">
        <v>117</v>
      </c>
      <c r="T37" s="451" t="s">
        <v>117</v>
      </c>
      <c r="U37" s="451"/>
    </row>
    <row r="38" spans="1:21" ht="13.15" customHeight="1" x14ac:dyDescent="0.2">
      <c r="A38" s="218" t="s">
        <v>1435</v>
      </c>
      <c r="B38" s="459" t="s">
        <v>222</v>
      </c>
      <c r="C38" s="460" t="s">
        <v>68</v>
      </c>
      <c r="D38" s="450" t="s">
        <v>383</v>
      </c>
      <c r="E38" s="451">
        <f t="shared" si="9"/>
        <v>5</v>
      </c>
      <c r="F38" s="451">
        <v>4</v>
      </c>
      <c r="G38" s="451">
        <v>1</v>
      </c>
      <c r="H38" s="452">
        <f t="shared" si="10"/>
        <v>1.688048615800135E-3</v>
      </c>
      <c r="I38" s="452">
        <f t="shared" si="11"/>
        <v>1.8733608092918695E-3</v>
      </c>
      <c r="J38" s="451">
        <v>5</v>
      </c>
      <c r="K38" s="451">
        <v>0</v>
      </c>
      <c r="L38" s="451">
        <v>4</v>
      </c>
      <c r="M38" s="451">
        <v>1</v>
      </c>
      <c r="N38" s="451">
        <v>0</v>
      </c>
      <c r="O38" s="451">
        <v>0</v>
      </c>
      <c r="P38" s="451" t="s">
        <v>117</v>
      </c>
      <c r="Q38" s="451" t="s">
        <v>117</v>
      </c>
      <c r="R38" s="451" t="s">
        <v>117</v>
      </c>
      <c r="S38" s="451" t="s">
        <v>117</v>
      </c>
      <c r="T38" s="451" t="s">
        <v>117</v>
      </c>
      <c r="U38" s="451"/>
    </row>
    <row r="39" spans="1:21" x14ac:dyDescent="0.2">
      <c r="A39" s="617" t="s">
        <v>223</v>
      </c>
      <c r="B39" s="618"/>
      <c r="C39" s="618"/>
      <c r="D39" s="618"/>
      <c r="E39" s="453">
        <f t="shared" ref="E39:U39" si="12">SUM(E30:E38)</f>
        <v>371</v>
      </c>
      <c r="F39" s="453">
        <f t="shared" si="12"/>
        <v>225</v>
      </c>
      <c r="G39" s="453">
        <f t="shared" si="12"/>
        <v>146</v>
      </c>
      <c r="H39" s="454">
        <f t="shared" si="12"/>
        <v>0.12525320729237005</v>
      </c>
      <c r="I39" s="454">
        <f t="shared" si="12"/>
        <v>0.13900337204945673</v>
      </c>
      <c r="J39" s="453">
        <f t="shared" si="12"/>
        <v>289</v>
      </c>
      <c r="K39" s="453">
        <f t="shared" si="12"/>
        <v>82</v>
      </c>
      <c r="L39" s="453">
        <f t="shared" si="12"/>
        <v>103</v>
      </c>
      <c r="M39" s="453">
        <f t="shared" si="12"/>
        <v>87</v>
      </c>
      <c r="N39" s="453">
        <f t="shared" si="12"/>
        <v>67</v>
      </c>
      <c r="O39" s="453">
        <f t="shared" si="12"/>
        <v>114</v>
      </c>
      <c r="P39" s="453">
        <f t="shared" si="12"/>
        <v>0</v>
      </c>
      <c r="Q39" s="453">
        <f t="shared" si="12"/>
        <v>0</v>
      </c>
      <c r="R39" s="453">
        <f t="shared" si="12"/>
        <v>0</v>
      </c>
      <c r="S39" s="453">
        <f t="shared" si="12"/>
        <v>0</v>
      </c>
      <c r="T39" s="453">
        <f t="shared" si="12"/>
        <v>0</v>
      </c>
      <c r="U39" s="453">
        <f t="shared" si="12"/>
        <v>0</v>
      </c>
    </row>
    <row r="40" spans="1:21" x14ac:dyDescent="0.2">
      <c r="A40" s="218" t="s">
        <v>1435</v>
      </c>
      <c r="B40" s="459" t="s">
        <v>222</v>
      </c>
      <c r="C40" s="460" t="s">
        <v>67</v>
      </c>
      <c r="D40" s="450" t="s">
        <v>375</v>
      </c>
      <c r="E40" s="451">
        <f t="shared" si="9"/>
        <v>37</v>
      </c>
      <c r="F40" s="451">
        <v>27</v>
      </c>
      <c r="G40" s="451">
        <v>10</v>
      </c>
      <c r="H40" s="452">
        <f>E40/$E$99</f>
        <v>1.2491559756920999E-2</v>
      </c>
      <c r="I40" s="452">
        <f>E40/$E$98</f>
        <v>0.12627986348122866</v>
      </c>
      <c r="J40" s="451">
        <v>10</v>
      </c>
      <c r="K40" s="451">
        <v>27</v>
      </c>
      <c r="L40" s="451" t="s">
        <v>117</v>
      </c>
      <c r="M40" s="451" t="s">
        <v>117</v>
      </c>
      <c r="N40" s="451" t="s">
        <v>117</v>
      </c>
      <c r="O40" s="451" t="s">
        <v>117</v>
      </c>
      <c r="P40" s="451" t="s">
        <v>117</v>
      </c>
      <c r="Q40" s="451" t="s">
        <v>117</v>
      </c>
      <c r="R40" s="451"/>
      <c r="S40" s="451">
        <v>37</v>
      </c>
      <c r="T40" s="451">
        <v>0</v>
      </c>
      <c r="U40" s="451"/>
    </row>
    <row r="41" spans="1:21" x14ac:dyDescent="0.2">
      <c r="A41" s="218" t="s">
        <v>1435</v>
      </c>
      <c r="B41" s="459" t="s">
        <v>222</v>
      </c>
      <c r="C41" s="460" t="s">
        <v>67</v>
      </c>
      <c r="D41" s="450" t="s">
        <v>406</v>
      </c>
      <c r="E41" s="451">
        <f t="shared" si="9"/>
        <v>15</v>
      </c>
      <c r="F41" s="451">
        <v>9</v>
      </c>
      <c r="G41" s="451">
        <v>6</v>
      </c>
      <c r="H41" s="452">
        <f>E41/$E$99</f>
        <v>5.064145847400405E-3</v>
      </c>
      <c r="I41" s="452">
        <f>E41/$E$98</f>
        <v>5.1194539249146756E-2</v>
      </c>
      <c r="J41" s="451">
        <v>3</v>
      </c>
      <c r="K41" s="451">
        <v>12</v>
      </c>
      <c r="L41" s="451" t="s">
        <v>117</v>
      </c>
      <c r="M41" s="451" t="s">
        <v>117</v>
      </c>
      <c r="N41" s="451" t="s">
        <v>117</v>
      </c>
      <c r="O41" s="451" t="s">
        <v>117</v>
      </c>
      <c r="P41" s="451" t="s">
        <v>117</v>
      </c>
      <c r="Q41" s="451" t="s">
        <v>117</v>
      </c>
      <c r="R41" s="451"/>
      <c r="S41" s="451">
        <v>15</v>
      </c>
      <c r="T41" s="451">
        <v>0</v>
      </c>
      <c r="U41" s="451"/>
    </row>
    <row r="42" spans="1:21" ht="22.9" customHeight="1" x14ac:dyDescent="0.2">
      <c r="A42" s="218" t="s">
        <v>1435</v>
      </c>
      <c r="B42" s="459" t="s">
        <v>222</v>
      </c>
      <c r="C42" s="460" t="s">
        <v>67</v>
      </c>
      <c r="D42" s="218" t="s">
        <v>387</v>
      </c>
      <c r="E42" s="451">
        <f t="shared" si="9"/>
        <v>11</v>
      </c>
      <c r="F42" s="451">
        <v>2</v>
      </c>
      <c r="G42" s="451">
        <v>9</v>
      </c>
      <c r="H42" s="452">
        <f>E42/$E$99</f>
        <v>3.7137069547602971E-3</v>
      </c>
      <c r="I42" s="452">
        <f>E42/$E$98</f>
        <v>3.7542662116040959E-2</v>
      </c>
      <c r="J42" s="451">
        <v>2</v>
      </c>
      <c r="K42" s="451">
        <v>9</v>
      </c>
      <c r="L42" s="451" t="s">
        <v>117</v>
      </c>
      <c r="M42" s="451" t="s">
        <v>117</v>
      </c>
      <c r="N42" s="451" t="s">
        <v>117</v>
      </c>
      <c r="O42" s="451" t="s">
        <v>117</v>
      </c>
      <c r="P42" s="451" t="s">
        <v>117</v>
      </c>
      <c r="Q42" s="451" t="s">
        <v>117</v>
      </c>
      <c r="R42" s="451"/>
      <c r="S42" s="451">
        <v>11</v>
      </c>
      <c r="T42" s="451">
        <v>0</v>
      </c>
      <c r="U42" s="451"/>
    </row>
    <row r="43" spans="1:21" x14ac:dyDescent="0.2">
      <c r="A43" s="630" t="s">
        <v>224</v>
      </c>
      <c r="B43" s="631"/>
      <c r="C43" s="631"/>
      <c r="D43" s="631"/>
      <c r="E43" s="453">
        <f>SUM(E40:E42)</f>
        <v>63</v>
      </c>
      <c r="F43" s="453">
        <f t="shared" ref="F43:U43" si="13">SUM(F40:F42)</f>
        <v>38</v>
      </c>
      <c r="G43" s="453">
        <f t="shared" si="13"/>
        <v>25</v>
      </c>
      <c r="H43" s="454">
        <f>SUM(H40:H42)</f>
        <v>2.1269412559081699E-2</v>
      </c>
      <c r="I43" s="454">
        <f>SUM(I40:I42)</f>
        <v>0.21501706484641636</v>
      </c>
      <c r="J43" s="453">
        <f t="shared" si="13"/>
        <v>15</v>
      </c>
      <c r="K43" s="453">
        <f t="shared" si="13"/>
        <v>48</v>
      </c>
      <c r="L43" s="453">
        <f>SUM(L40:L42)</f>
        <v>0</v>
      </c>
      <c r="M43" s="453">
        <f t="shared" si="13"/>
        <v>0</v>
      </c>
      <c r="N43" s="453">
        <f t="shared" si="13"/>
        <v>0</v>
      </c>
      <c r="O43" s="453">
        <f t="shared" si="13"/>
        <v>0</v>
      </c>
      <c r="P43" s="453">
        <f t="shared" si="13"/>
        <v>0</v>
      </c>
      <c r="Q43" s="453">
        <f t="shared" si="13"/>
        <v>0</v>
      </c>
      <c r="R43" s="453">
        <f t="shared" si="13"/>
        <v>0</v>
      </c>
      <c r="S43" s="453">
        <f t="shared" si="13"/>
        <v>63</v>
      </c>
      <c r="T43" s="453">
        <f t="shared" si="13"/>
        <v>0</v>
      </c>
      <c r="U43" s="453">
        <f t="shared" si="13"/>
        <v>0</v>
      </c>
    </row>
    <row r="44" spans="1:21" x14ac:dyDescent="0.2">
      <c r="A44" s="628" t="s">
        <v>225</v>
      </c>
      <c r="B44" s="629"/>
      <c r="C44" s="629"/>
      <c r="D44" s="629"/>
      <c r="E44" s="455">
        <f>E39+E43</f>
        <v>434</v>
      </c>
      <c r="F44" s="455">
        <f t="shared" ref="F44:U44" si="14">F39+F43</f>
        <v>263</v>
      </c>
      <c r="G44" s="455">
        <f t="shared" si="14"/>
        <v>171</v>
      </c>
      <c r="H44" s="456">
        <f>H39+H43</f>
        <v>0.14652261985145176</v>
      </c>
      <c r="I44" s="457"/>
      <c r="J44" s="455">
        <f t="shared" si="14"/>
        <v>304</v>
      </c>
      <c r="K44" s="455">
        <f>K39+K43</f>
        <v>130</v>
      </c>
      <c r="L44" s="455">
        <f t="shared" si="14"/>
        <v>103</v>
      </c>
      <c r="M44" s="455">
        <f t="shared" si="14"/>
        <v>87</v>
      </c>
      <c r="N44" s="455">
        <f t="shared" si="14"/>
        <v>67</v>
      </c>
      <c r="O44" s="455">
        <f t="shared" si="14"/>
        <v>114</v>
      </c>
      <c r="P44" s="455">
        <f t="shared" si="14"/>
        <v>0</v>
      </c>
      <c r="Q44" s="455">
        <f t="shared" si="14"/>
        <v>0</v>
      </c>
      <c r="R44" s="455">
        <f t="shared" si="14"/>
        <v>0</v>
      </c>
      <c r="S44" s="455">
        <f t="shared" si="14"/>
        <v>63</v>
      </c>
      <c r="T44" s="455">
        <f t="shared" si="14"/>
        <v>0</v>
      </c>
      <c r="U44" s="455">
        <f t="shared" si="14"/>
        <v>0</v>
      </c>
    </row>
    <row r="45" spans="1:21" ht="3" customHeight="1" x14ac:dyDescent="0.25">
      <c r="A45" s="458"/>
      <c r="B45" s="458"/>
      <c r="C45" s="458"/>
      <c r="D45" s="458"/>
      <c r="E45" s="458"/>
      <c r="F45" s="458"/>
      <c r="G45" s="458"/>
      <c r="H45" s="458"/>
      <c r="I45" s="458"/>
      <c r="J45" s="458"/>
      <c r="K45" s="458"/>
      <c r="L45" s="458"/>
      <c r="M45" s="458"/>
      <c r="N45" s="458"/>
      <c r="O45" s="458"/>
      <c r="P45" s="458"/>
      <c r="Q45" s="458"/>
      <c r="R45" s="458"/>
      <c r="S45" s="458"/>
      <c r="T45" s="458"/>
      <c r="U45" s="458"/>
    </row>
    <row r="46" spans="1:21" x14ac:dyDescent="0.2">
      <c r="A46" s="218" t="s">
        <v>1435</v>
      </c>
      <c r="B46" s="459" t="s">
        <v>226</v>
      </c>
      <c r="C46" s="460" t="s">
        <v>68</v>
      </c>
      <c r="D46" s="450" t="s">
        <v>1436</v>
      </c>
      <c r="E46" s="451">
        <f t="shared" ref="E46:E48" si="15">F46+G46</f>
        <v>5</v>
      </c>
      <c r="F46" s="451">
        <v>3</v>
      </c>
      <c r="G46" s="451">
        <v>2</v>
      </c>
      <c r="H46" s="452">
        <f>E46/$E$99</f>
        <v>1.688048615800135E-3</v>
      </c>
      <c r="I46" s="452">
        <f>E46/$E$97</f>
        <v>1.8733608092918695E-3</v>
      </c>
      <c r="J46" s="451">
        <v>5</v>
      </c>
      <c r="K46" s="451">
        <v>0</v>
      </c>
      <c r="L46" s="451" t="s">
        <v>117</v>
      </c>
      <c r="M46" s="451" t="s">
        <v>117</v>
      </c>
      <c r="N46" s="451" t="s">
        <v>117</v>
      </c>
      <c r="O46" s="451" t="s">
        <v>117</v>
      </c>
      <c r="P46" s="451" t="s">
        <v>117</v>
      </c>
      <c r="Q46" s="451">
        <v>5</v>
      </c>
      <c r="R46" s="451"/>
      <c r="S46" s="451" t="s">
        <v>117</v>
      </c>
      <c r="T46" s="451" t="s">
        <v>117</v>
      </c>
      <c r="U46" s="451"/>
    </row>
    <row r="47" spans="1:21" x14ac:dyDescent="0.2">
      <c r="A47" s="218" t="s">
        <v>1435</v>
      </c>
      <c r="B47" s="459" t="s">
        <v>226</v>
      </c>
      <c r="C47" s="460" t="s">
        <v>68</v>
      </c>
      <c r="D47" s="450" t="s">
        <v>194</v>
      </c>
      <c r="E47" s="451">
        <f t="shared" si="15"/>
        <v>34</v>
      </c>
      <c r="F47" s="451">
        <v>16</v>
      </c>
      <c r="G47" s="451">
        <v>18</v>
      </c>
      <c r="H47" s="452">
        <f>E47/$E$99</f>
        <v>1.1478730587440918E-2</v>
      </c>
      <c r="I47" s="452">
        <f>E47/$E$97</f>
        <v>1.2738853503184714E-2</v>
      </c>
      <c r="J47" s="451">
        <v>8</v>
      </c>
      <c r="K47" s="451">
        <v>26</v>
      </c>
      <c r="L47" s="451" t="s">
        <v>117</v>
      </c>
      <c r="M47" s="451" t="s">
        <v>117</v>
      </c>
      <c r="N47" s="451" t="s">
        <v>117</v>
      </c>
      <c r="O47" s="451" t="s">
        <v>117</v>
      </c>
      <c r="P47" s="451">
        <v>30</v>
      </c>
      <c r="Q47" s="451">
        <v>4</v>
      </c>
      <c r="R47" s="451" t="s">
        <v>117</v>
      </c>
      <c r="S47" s="451" t="s">
        <v>117</v>
      </c>
      <c r="T47" s="451" t="s">
        <v>117</v>
      </c>
      <c r="U47" s="451"/>
    </row>
    <row r="48" spans="1:21" x14ac:dyDescent="0.2">
      <c r="A48" s="218" t="s">
        <v>1435</v>
      </c>
      <c r="B48" s="459" t="s">
        <v>226</v>
      </c>
      <c r="C48" s="460" t="s">
        <v>68</v>
      </c>
      <c r="D48" s="450" t="s">
        <v>388</v>
      </c>
      <c r="E48" s="451">
        <f t="shared" si="15"/>
        <v>301</v>
      </c>
      <c r="F48" s="451">
        <v>130</v>
      </c>
      <c r="G48" s="451">
        <v>171</v>
      </c>
      <c r="H48" s="452">
        <f>E48/$E$99</f>
        <v>0.10162052667116812</v>
      </c>
      <c r="I48" s="452">
        <f>E48/$E$97</f>
        <v>0.11277632071937055</v>
      </c>
      <c r="J48" s="451">
        <v>242</v>
      </c>
      <c r="K48" s="451">
        <v>59</v>
      </c>
      <c r="L48" s="451">
        <v>222</v>
      </c>
      <c r="M48" s="451">
        <v>62</v>
      </c>
      <c r="N48" s="451">
        <v>11</v>
      </c>
      <c r="O48" s="451">
        <v>6</v>
      </c>
      <c r="P48" s="451" t="s">
        <v>117</v>
      </c>
      <c r="Q48" s="451" t="s">
        <v>117</v>
      </c>
      <c r="R48" s="451"/>
      <c r="S48" s="451" t="s">
        <v>117</v>
      </c>
      <c r="T48" s="451" t="s">
        <v>117</v>
      </c>
      <c r="U48" s="451"/>
    </row>
    <row r="49" spans="1:21" hidden="1" x14ac:dyDescent="0.2">
      <c r="A49" s="218"/>
      <c r="B49" s="459" t="s">
        <v>226</v>
      </c>
      <c r="C49" s="460" t="s">
        <v>68</v>
      </c>
      <c r="D49" s="450"/>
      <c r="E49" s="451"/>
      <c r="F49" s="451"/>
      <c r="G49" s="451"/>
      <c r="H49" s="452">
        <f>E49/$E$99</f>
        <v>0</v>
      </c>
      <c r="I49" s="452">
        <f>E49/$E$97</f>
        <v>0</v>
      </c>
      <c r="J49" s="451"/>
      <c r="K49" s="451"/>
      <c r="L49" s="451"/>
      <c r="M49" s="451"/>
      <c r="N49" s="451"/>
      <c r="O49" s="451"/>
      <c r="P49" s="451"/>
      <c r="Q49" s="451"/>
      <c r="R49" s="451"/>
      <c r="S49" s="451"/>
      <c r="T49" s="451"/>
      <c r="U49" s="451"/>
    </row>
    <row r="50" spans="1:21" x14ac:dyDescent="0.2">
      <c r="A50" s="630" t="s">
        <v>227</v>
      </c>
      <c r="B50" s="631"/>
      <c r="C50" s="631"/>
      <c r="D50" s="631"/>
      <c r="E50" s="453">
        <f>SUM(E46:E49)</f>
        <v>340</v>
      </c>
      <c r="F50" s="453">
        <f t="shared" ref="F50:G50" si="16">SUM(F46:F49)</f>
        <v>149</v>
      </c>
      <c r="G50" s="453">
        <f t="shared" si="16"/>
        <v>191</v>
      </c>
      <c r="H50" s="454">
        <f>SUM(H46:H49)</f>
        <v>0.11478730587440918</v>
      </c>
      <c r="I50" s="454">
        <f>SUM(I46:I49)</f>
        <v>0.12738853503184713</v>
      </c>
      <c r="J50" s="453">
        <f>SUM(J46:J49)</f>
        <v>255</v>
      </c>
      <c r="K50" s="453">
        <f t="shared" ref="K50:U50" si="17">SUM(K46:K49)</f>
        <v>85</v>
      </c>
      <c r="L50" s="453">
        <f t="shared" si="17"/>
        <v>222</v>
      </c>
      <c r="M50" s="453">
        <f t="shared" si="17"/>
        <v>62</v>
      </c>
      <c r="N50" s="453">
        <f t="shared" si="17"/>
        <v>11</v>
      </c>
      <c r="O50" s="453">
        <f t="shared" si="17"/>
        <v>6</v>
      </c>
      <c r="P50" s="453">
        <f t="shared" si="17"/>
        <v>30</v>
      </c>
      <c r="Q50" s="453">
        <f t="shared" si="17"/>
        <v>9</v>
      </c>
      <c r="R50" s="453">
        <f t="shared" si="17"/>
        <v>0</v>
      </c>
      <c r="S50" s="453">
        <f t="shared" si="17"/>
        <v>0</v>
      </c>
      <c r="T50" s="453">
        <f t="shared" si="17"/>
        <v>0</v>
      </c>
      <c r="U50" s="453">
        <f t="shared" si="17"/>
        <v>0</v>
      </c>
    </row>
    <row r="51" spans="1:21" x14ac:dyDescent="0.2">
      <c r="A51" s="628" t="s">
        <v>228</v>
      </c>
      <c r="B51" s="629"/>
      <c r="C51" s="629"/>
      <c r="D51" s="629"/>
      <c r="E51" s="455">
        <f>E50</f>
        <v>340</v>
      </c>
      <c r="F51" s="455">
        <f>F50</f>
        <v>149</v>
      </c>
      <c r="G51" s="455">
        <f>G50</f>
        <v>191</v>
      </c>
      <c r="H51" s="456">
        <f>H50</f>
        <v>0.11478730587440918</v>
      </c>
      <c r="I51" s="457"/>
      <c r="J51" s="455">
        <f>J50</f>
        <v>255</v>
      </c>
      <c r="K51" s="455">
        <f t="shared" ref="K51:T51" si="18">K50</f>
        <v>85</v>
      </c>
      <c r="L51" s="455">
        <f t="shared" si="18"/>
        <v>222</v>
      </c>
      <c r="M51" s="455">
        <f t="shared" si="18"/>
        <v>62</v>
      </c>
      <c r="N51" s="455">
        <f t="shared" si="18"/>
        <v>11</v>
      </c>
      <c r="O51" s="455">
        <f t="shared" si="18"/>
        <v>6</v>
      </c>
      <c r="P51" s="455">
        <f t="shared" si="18"/>
        <v>30</v>
      </c>
      <c r="Q51" s="455">
        <f t="shared" si="18"/>
        <v>9</v>
      </c>
      <c r="R51" s="455">
        <f t="shared" si="18"/>
        <v>0</v>
      </c>
      <c r="S51" s="455">
        <f t="shared" si="18"/>
        <v>0</v>
      </c>
      <c r="T51" s="455">
        <f t="shared" si="18"/>
        <v>0</v>
      </c>
      <c r="U51" s="455">
        <f>U50</f>
        <v>0</v>
      </c>
    </row>
    <row r="52" spans="1:21" ht="3" customHeight="1" x14ac:dyDescent="0.25">
      <c r="A52" s="458"/>
      <c r="B52" s="458"/>
      <c r="C52" s="458"/>
      <c r="D52" s="458"/>
      <c r="E52" s="458"/>
      <c r="F52" s="458"/>
      <c r="G52" s="458"/>
      <c r="H52" s="458"/>
      <c r="I52" s="458"/>
      <c r="J52" s="458"/>
      <c r="K52" s="458"/>
      <c r="L52" s="458"/>
      <c r="M52" s="458"/>
      <c r="N52" s="458"/>
      <c r="O52" s="458"/>
      <c r="P52" s="458"/>
      <c r="Q52" s="458"/>
      <c r="R52" s="458"/>
      <c r="S52" s="458"/>
      <c r="T52" s="458"/>
      <c r="U52" s="458"/>
    </row>
    <row r="53" spans="1:21" x14ac:dyDescent="0.2">
      <c r="A53" s="218" t="s">
        <v>1435</v>
      </c>
      <c r="B53" s="218" t="s">
        <v>229</v>
      </c>
      <c r="C53" s="449" t="s">
        <v>68</v>
      </c>
      <c r="D53" s="450" t="s">
        <v>389</v>
      </c>
      <c r="E53" s="451">
        <f t="shared" ref="E53:E58" si="19">F53+G53</f>
        <v>161</v>
      </c>
      <c r="F53" s="451">
        <v>99</v>
      </c>
      <c r="G53" s="451">
        <v>62</v>
      </c>
      <c r="H53" s="452">
        <f t="shared" ref="H53:H58" si="20">E53/$E$99</f>
        <v>5.4355165428764347E-2</v>
      </c>
      <c r="I53" s="452">
        <f t="shared" ref="I53:I58" si="21">E53/$E$97</f>
        <v>6.0322218059198199E-2</v>
      </c>
      <c r="J53" s="451">
        <v>126</v>
      </c>
      <c r="K53" s="451">
        <v>35</v>
      </c>
      <c r="L53" s="451">
        <v>41</v>
      </c>
      <c r="M53" s="451">
        <v>31</v>
      </c>
      <c r="N53" s="451">
        <v>26</v>
      </c>
      <c r="O53" s="451">
        <v>63</v>
      </c>
      <c r="P53" s="451" t="s">
        <v>117</v>
      </c>
      <c r="Q53" s="451" t="s">
        <v>117</v>
      </c>
      <c r="R53" s="451" t="s">
        <v>117</v>
      </c>
      <c r="S53" s="451" t="s">
        <v>117</v>
      </c>
      <c r="T53" s="451" t="s">
        <v>117</v>
      </c>
      <c r="U53" s="451"/>
    </row>
    <row r="54" spans="1:21" x14ac:dyDescent="0.2">
      <c r="A54" s="218" t="s">
        <v>1435</v>
      </c>
      <c r="B54" s="218" t="s">
        <v>229</v>
      </c>
      <c r="C54" s="449" t="s">
        <v>68</v>
      </c>
      <c r="D54" s="450" t="s">
        <v>393</v>
      </c>
      <c r="E54" s="451">
        <f t="shared" si="19"/>
        <v>348</v>
      </c>
      <c r="F54" s="451">
        <f>13+190</f>
        <v>203</v>
      </c>
      <c r="G54" s="451">
        <f>17+128</f>
        <v>145</v>
      </c>
      <c r="H54" s="452">
        <f t="shared" si="20"/>
        <v>0.1174881836596894</v>
      </c>
      <c r="I54" s="452">
        <f t="shared" si="21"/>
        <v>0.13038591232671412</v>
      </c>
      <c r="J54" s="451">
        <f>14+261</f>
        <v>275</v>
      </c>
      <c r="K54" s="451">
        <f>16+57</f>
        <v>73</v>
      </c>
      <c r="L54" s="451">
        <f>0+99</f>
        <v>99</v>
      </c>
      <c r="M54" s="451">
        <f>1+54</f>
        <v>55</v>
      </c>
      <c r="N54" s="451">
        <f>1+76</f>
        <v>77</v>
      </c>
      <c r="O54" s="451">
        <f>28+89</f>
        <v>117</v>
      </c>
      <c r="P54" s="451" t="s">
        <v>117</v>
      </c>
      <c r="Q54" s="451" t="s">
        <v>117</v>
      </c>
      <c r="R54" s="451" t="s">
        <v>117</v>
      </c>
      <c r="S54" s="451" t="s">
        <v>117</v>
      </c>
      <c r="T54" s="451" t="s">
        <v>117</v>
      </c>
      <c r="U54" s="451"/>
    </row>
    <row r="55" spans="1:21" x14ac:dyDescent="0.2">
      <c r="A55" s="218" t="s">
        <v>1435</v>
      </c>
      <c r="B55" s="218" t="s">
        <v>229</v>
      </c>
      <c r="C55" s="449" t="s">
        <v>68</v>
      </c>
      <c r="D55" s="450" t="s">
        <v>390</v>
      </c>
      <c r="E55" s="451">
        <f t="shared" si="19"/>
        <v>145</v>
      </c>
      <c r="F55" s="451">
        <v>65</v>
      </c>
      <c r="G55" s="451">
        <v>80</v>
      </c>
      <c r="H55" s="452">
        <f t="shared" si="20"/>
        <v>4.8953409858203914E-2</v>
      </c>
      <c r="I55" s="452">
        <f t="shared" si="21"/>
        <v>5.4327463469464217E-2</v>
      </c>
      <c r="J55" s="451">
        <v>114</v>
      </c>
      <c r="K55" s="451">
        <v>31</v>
      </c>
      <c r="L55" s="451">
        <v>48</v>
      </c>
      <c r="M55" s="451">
        <v>27</v>
      </c>
      <c r="N55" s="451">
        <v>39</v>
      </c>
      <c r="O55" s="451">
        <v>31</v>
      </c>
      <c r="P55" s="451" t="s">
        <v>117</v>
      </c>
      <c r="Q55" s="451" t="s">
        <v>117</v>
      </c>
      <c r="R55" s="451" t="s">
        <v>117</v>
      </c>
      <c r="S55" s="451" t="s">
        <v>117</v>
      </c>
      <c r="T55" s="451" t="s">
        <v>117</v>
      </c>
      <c r="U55" s="451"/>
    </row>
    <row r="56" spans="1:21" x14ac:dyDescent="0.2">
      <c r="A56" s="218" t="s">
        <v>1435</v>
      </c>
      <c r="B56" s="218" t="s">
        <v>229</v>
      </c>
      <c r="C56" s="449" t="s">
        <v>68</v>
      </c>
      <c r="D56" s="450" t="s">
        <v>391</v>
      </c>
      <c r="E56" s="451">
        <f t="shared" si="19"/>
        <v>4</v>
      </c>
      <c r="F56" s="451">
        <v>3</v>
      </c>
      <c r="G56" s="451">
        <v>1</v>
      </c>
      <c r="H56" s="452">
        <f t="shared" si="20"/>
        <v>1.3504388926401081E-3</v>
      </c>
      <c r="I56" s="452">
        <f t="shared" si="21"/>
        <v>1.4986886474334957E-3</v>
      </c>
      <c r="J56" s="451">
        <v>4</v>
      </c>
      <c r="K56" s="451">
        <v>0</v>
      </c>
      <c r="L56" s="451">
        <v>1</v>
      </c>
      <c r="M56" s="451">
        <v>1</v>
      </c>
      <c r="N56" s="451">
        <v>0</v>
      </c>
      <c r="O56" s="451">
        <v>2</v>
      </c>
      <c r="P56" s="451" t="s">
        <v>117</v>
      </c>
      <c r="Q56" s="451" t="s">
        <v>117</v>
      </c>
      <c r="R56" s="451" t="s">
        <v>117</v>
      </c>
      <c r="S56" s="451" t="s">
        <v>117</v>
      </c>
      <c r="T56" s="451" t="s">
        <v>117</v>
      </c>
      <c r="U56" s="451"/>
    </row>
    <row r="57" spans="1:21" x14ac:dyDescent="0.2">
      <c r="A57" s="218" t="s">
        <v>1435</v>
      </c>
      <c r="B57" s="218" t="s">
        <v>229</v>
      </c>
      <c r="C57" s="449" t="s">
        <v>68</v>
      </c>
      <c r="D57" s="450" t="s">
        <v>1437</v>
      </c>
      <c r="E57" s="451">
        <f t="shared" ref="E57" si="22">F57+G57</f>
        <v>6</v>
      </c>
      <c r="F57" s="451">
        <v>3</v>
      </c>
      <c r="G57" s="451">
        <v>3</v>
      </c>
      <c r="H57" s="452">
        <f t="shared" si="20"/>
        <v>2.0256583389601621E-3</v>
      </c>
      <c r="I57" s="452">
        <f t="shared" si="21"/>
        <v>2.2480329711502436E-3</v>
      </c>
      <c r="J57" s="451">
        <v>2</v>
      </c>
      <c r="K57" s="451">
        <v>4</v>
      </c>
      <c r="L57" s="451">
        <v>0</v>
      </c>
      <c r="M57" s="451">
        <v>0</v>
      </c>
      <c r="N57" s="451">
        <v>0</v>
      </c>
      <c r="O57" s="451">
        <v>0</v>
      </c>
      <c r="P57" s="451">
        <v>6</v>
      </c>
      <c r="Q57" s="451" t="s">
        <v>117</v>
      </c>
      <c r="R57" s="451" t="s">
        <v>117</v>
      </c>
      <c r="S57" s="451" t="s">
        <v>117</v>
      </c>
      <c r="T57" s="451" t="s">
        <v>117</v>
      </c>
      <c r="U57" s="451"/>
    </row>
    <row r="58" spans="1:21" x14ac:dyDescent="0.2">
      <c r="A58" s="218" t="s">
        <v>1435</v>
      </c>
      <c r="B58" s="218" t="s">
        <v>229</v>
      </c>
      <c r="C58" s="449" t="s">
        <v>68</v>
      </c>
      <c r="D58" s="450" t="s">
        <v>394</v>
      </c>
      <c r="E58" s="451">
        <f t="shared" si="19"/>
        <v>58</v>
      </c>
      <c r="F58" s="451">
        <v>35</v>
      </c>
      <c r="G58" s="451">
        <v>23</v>
      </c>
      <c r="H58" s="452">
        <f t="shared" si="20"/>
        <v>1.9581363943281565E-2</v>
      </c>
      <c r="I58" s="452">
        <f t="shared" si="21"/>
        <v>2.1730985387785687E-2</v>
      </c>
      <c r="J58" s="451">
        <v>41</v>
      </c>
      <c r="K58" s="451">
        <v>17</v>
      </c>
      <c r="L58" s="451">
        <v>7</v>
      </c>
      <c r="M58" s="451">
        <v>10</v>
      </c>
      <c r="N58" s="451">
        <v>15</v>
      </c>
      <c r="O58" s="451">
        <v>26</v>
      </c>
      <c r="P58" s="451" t="s">
        <v>117</v>
      </c>
      <c r="Q58" s="451" t="s">
        <v>117</v>
      </c>
      <c r="R58" s="451" t="s">
        <v>117</v>
      </c>
      <c r="S58" s="451" t="s">
        <v>117</v>
      </c>
      <c r="T58" s="451" t="s">
        <v>117</v>
      </c>
      <c r="U58" s="451"/>
    </row>
    <row r="59" spans="1:21" x14ac:dyDescent="0.2">
      <c r="A59" s="617" t="s">
        <v>230</v>
      </c>
      <c r="B59" s="618"/>
      <c r="C59" s="618"/>
      <c r="D59" s="618"/>
      <c r="E59" s="453">
        <f t="shared" ref="E59:U59" si="23">SUM(E53:E58)</f>
        <v>722</v>
      </c>
      <c r="F59" s="453">
        <f t="shared" si="23"/>
        <v>408</v>
      </c>
      <c r="G59" s="453">
        <f t="shared" si="23"/>
        <v>314</v>
      </c>
      <c r="H59" s="454">
        <f t="shared" si="23"/>
        <v>0.24375422012153949</v>
      </c>
      <c r="I59" s="454">
        <f t="shared" si="23"/>
        <v>0.27051330086174596</v>
      </c>
      <c r="J59" s="453">
        <f t="shared" si="23"/>
        <v>562</v>
      </c>
      <c r="K59" s="453">
        <f t="shared" si="23"/>
        <v>160</v>
      </c>
      <c r="L59" s="453">
        <f t="shared" si="23"/>
        <v>196</v>
      </c>
      <c r="M59" s="453">
        <f t="shared" si="23"/>
        <v>124</v>
      </c>
      <c r="N59" s="453">
        <f t="shared" si="23"/>
        <v>157</v>
      </c>
      <c r="O59" s="453">
        <f t="shared" si="23"/>
        <v>239</v>
      </c>
      <c r="P59" s="453">
        <f t="shared" si="23"/>
        <v>6</v>
      </c>
      <c r="Q59" s="453">
        <f t="shared" si="23"/>
        <v>0</v>
      </c>
      <c r="R59" s="453">
        <f t="shared" si="23"/>
        <v>0</v>
      </c>
      <c r="S59" s="453">
        <f t="shared" si="23"/>
        <v>0</v>
      </c>
      <c r="T59" s="453">
        <f t="shared" si="23"/>
        <v>0</v>
      </c>
      <c r="U59" s="453">
        <f t="shared" si="23"/>
        <v>0</v>
      </c>
    </row>
    <row r="60" spans="1:21" x14ac:dyDescent="0.2">
      <c r="A60" s="218" t="s">
        <v>1435</v>
      </c>
      <c r="B60" s="459" t="s">
        <v>229</v>
      </c>
      <c r="C60" s="460" t="s">
        <v>67</v>
      </c>
      <c r="D60" s="450" t="s">
        <v>649</v>
      </c>
      <c r="E60" s="451">
        <f t="shared" ref="E60:E61" si="24">F60+G60</f>
        <v>9</v>
      </c>
      <c r="F60" s="451">
        <v>6</v>
      </c>
      <c r="G60" s="451">
        <v>3</v>
      </c>
      <c r="H60" s="452">
        <f>E60/$E$99</f>
        <v>3.0384875084402429E-3</v>
      </c>
      <c r="I60" s="452">
        <f>E60/$E$98</f>
        <v>3.0716723549488054E-2</v>
      </c>
      <c r="J60" s="451">
        <v>9</v>
      </c>
      <c r="K60" s="451">
        <v>0</v>
      </c>
      <c r="L60" s="451" t="s">
        <v>117</v>
      </c>
      <c r="M60" s="451" t="s">
        <v>117</v>
      </c>
      <c r="N60" s="451" t="s">
        <v>117</v>
      </c>
      <c r="O60" s="451" t="s">
        <v>117</v>
      </c>
      <c r="P60" s="451" t="s">
        <v>117</v>
      </c>
      <c r="Q60" s="451" t="s">
        <v>117</v>
      </c>
      <c r="R60" s="451"/>
      <c r="S60" s="451">
        <v>9</v>
      </c>
      <c r="T60" s="451">
        <v>0</v>
      </c>
      <c r="U60" s="451"/>
    </row>
    <row r="61" spans="1:21" x14ac:dyDescent="0.2">
      <c r="A61" s="218" t="s">
        <v>1435</v>
      </c>
      <c r="B61" s="459" t="s">
        <v>229</v>
      </c>
      <c r="C61" s="460" t="s">
        <v>67</v>
      </c>
      <c r="D61" s="450" t="s">
        <v>394</v>
      </c>
      <c r="E61" s="451">
        <f t="shared" si="24"/>
        <v>44</v>
      </c>
      <c r="F61" s="451">
        <v>22</v>
      </c>
      <c r="G61" s="451">
        <v>22</v>
      </c>
      <c r="H61" s="452">
        <f>E61/$E$99</f>
        <v>1.4854827819041188E-2</v>
      </c>
      <c r="I61" s="452">
        <f>E61/$E$98</f>
        <v>0.15017064846416384</v>
      </c>
      <c r="J61" s="451">
        <v>25</v>
      </c>
      <c r="K61" s="451">
        <v>19</v>
      </c>
      <c r="L61" s="451" t="s">
        <v>117</v>
      </c>
      <c r="M61" s="451" t="s">
        <v>117</v>
      </c>
      <c r="N61" s="451" t="s">
        <v>117</v>
      </c>
      <c r="O61" s="451" t="s">
        <v>117</v>
      </c>
      <c r="P61" s="451" t="s">
        <v>117</v>
      </c>
      <c r="Q61" s="451" t="s">
        <v>117</v>
      </c>
      <c r="R61" s="451"/>
      <c r="S61" s="451">
        <v>43</v>
      </c>
      <c r="T61" s="451">
        <v>1</v>
      </c>
      <c r="U61" s="451"/>
    </row>
    <row r="62" spans="1:21" x14ac:dyDescent="0.2">
      <c r="A62" s="630" t="s">
        <v>231</v>
      </c>
      <c r="B62" s="631"/>
      <c r="C62" s="631"/>
      <c r="D62" s="631"/>
      <c r="E62" s="453">
        <f>SUM(E60:E61)</f>
        <v>53</v>
      </c>
      <c r="F62" s="453">
        <f t="shared" ref="F62:U62" si="25">SUM(F60:F61)</f>
        <v>28</v>
      </c>
      <c r="G62" s="453">
        <f t="shared" si="25"/>
        <v>25</v>
      </c>
      <c r="H62" s="454">
        <f>SUM(H60:H61)</f>
        <v>1.7893315327481431E-2</v>
      </c>
      <c r="I62" s="454">
        <f>SUM(I60:I61)</f>
        <v>0.1808873720136519</v>
      </c>
      <c r="J62" s="453">
        <f t="shared" si="25"/>
        <v>34</v>
      </c>
      <c r="K62" s="453">
        <f t="shared" si="25"/>
        <v>19</v>
      </c>
      <c r="L62" s="453">
        <f>SUM(L60:L61)</f>
        <v>0</v>
      </c>
      <c r="M62" s="453">
        <f t="shared" si="25"/>
        <v>0</v>
      </c>
      <c r="N62" s="453">
        <f t="shared" si="25"/>
        <v>0</v>
      </c>
      <c r="O62" s="453">
        <f t="shared" si="25"/>
        <v>0</v>
      </c>
      <c r="P62" s="453">
        <f t="shared" si="25"/>
        <v>0</v>
      </c>
      <c r="Q62" s="453">
        <f t="shared" si="25"/>
        <v>0</v>
      </c>
      <c r="R62" s="453">
        <f t="shared" si="25"/>
        <v>0</v>
      </c>
      <c r="S62" s="453">
        <f t="shared" si="25"/>
        <v>52</v>
      </c>
      <c r="T62" s="453">
        <f t="shared" si="25"/>
        <v>1</v>
      </c>
      <c r="U62" s="453">
        <f t="shared" si="25"/>
        <v>0</v>
      </c>
    </row>
    <row r="63" spans="1:21" x14ac:dyDescent="0.2">
      <c r="A63" s="628" t="s">
        <v>232</v>
      </c>
      <c r="B63" s="629"/>
      <c r="C63" s="629"/>
      <c r="D63" s="629"/>
      <c r="E63" s="455">
        <f>E59+E62</f>
        <v>775</v>
      </c>
      <c r="F63" s="455">
        <f t="shared" ref="F63:U63" si="26">F59+F62</f>
        <v>436</v>
      </c>
      <c r="G63" s="455">
        <f t="shared" si="26"/>
        <v>339</v>
      </c>
      <c r="H63" s="456">
        <f>H59+H62</f>
        <v>0.26164753544902092</v>
      </c>
      <c r="I63" s="457"/>
      <c r="J63" s="455">
        <f t="shared" si="26"/>
        <v>596</v>
      </c>
      <c r="K63" s="455">
        <f t="shared" si="26"/>
        <v>179</v>
      </c>
      <c r="L63" s="455">
        <f t="shared" si="26"/>
        <v>196</v>
      </c>
      <c r="M63" s="455">
        <f t="shared" si="26"/>
        <v>124</v>
      </c>
      <c r="N63" s="455">
        <f t="shared" si="26"/>
        <v>157</v>
      </c>
      <c r="O63" s="455">
        <f t="shared" si="26"/>
        <v>239</v>
      </c>
      <c r="P63" s="455">
        <f t="shared" si="26"/>
        <v>6</v>
      </c>
      <c r="Q63" s="455">
        <f>Q59+Q62</f>
        <v>0</v>
      </c>
      <c r="R63" s="455">
        <f t="shared" si="26"/>
        <v>0</v>
      </c>
      <c r="S63" s="455">
        <f t="shared" si="26"/>
        <v>52</v>
      </c>
      <c r="T63" s="455">
        <f t="shared" si="26"/>
        <v>1</v>
      </c>
      <c r="U63" s="455">
        <f t="shared" si="26"/>
        <v>0</v>
      </c>
    </row>
    <row r="64" spans="1:21" ht="3" customHeight="1" x14ac:dyDescent="0.25">
      <c r="A64" s="458"/>
      <c r="B64" s="458"/>
      <c r="C64" s="458"/>
      <c r="D64" s="458"/>
      <c r="E64" s="458"/>
      <c r="F64" s="458"/>
      <c r="G64" s="458"/>
      <c r="H64" s="458"/>
      <c r="I64" s="458"/>
      <c r="J64" s="458"/>
      <c r="K64" s="458"/>
      <c r="L64" s="458"/>
      <c r="M64" s="458"/>
      <c r="N64" s="458"/>
      <c r="O64" s="458"/>
      <c r="P64" s="458"/>
      <c r="Q64" s="458"/>
      <c r="R64" s="458"/>
      <c r="S64" s="458"/>
      <c r="T64" s="458"/>
      <c r="U64" s="458"/>
    </row>
    <row r="65" spans="1:21" ht="13.9" customHeight="1" x14ac:dyDescent="0.2">
      <c r="A65" s="218" t="s">
        <v>1435</v>
      </c>
      <c r="B65" s="459" t="s">
        <v>276</v>
      </c>
      <c r="C65" s="460" t="s">
        <v>68</v>
      </c>
      <c r="D65" s="450" t="s">
        <v>340</v>
      </c>
      <c r="E65" s="451">
        <f t="shared" ref="E65" si="27">F65+G65</f>
        <v>170</v>
      </c>
      <c r="F65" s="451">
        <v>34</v>
      </c>
      <c r="G65" s="451">
        <v>136</v>
      </c>
      <c r="H65" s="452">
        <f>E65/$E$99</f>
        <v>5.7393652937204588E-2</v>
      </c>
      <c r="I65" s="452">
        <f>E65/$E$97</f>
        <v>6.3694267515923567E-2</v>
      </c>
      <c r="J65" s="451">
        <v>135</v>
      </c>
      <c r="K65" s="451">
        <v>35</v>
      </c>
      <c r="L65" s="451">
        <v>65</v>
      </c>
      <c r="M65" s="451">
        <v>30</v>
      </c>
      <c r="N65" s="451">
        <v>42</v>
      </c>
      <c r="O65" s="451">
        <v>33</v>
      </c>
      <c r="P65" s="451" t="s">
        <v>117</v>
      </c>
      <c r="Q65" s="451" t="s">
        <v>117</v>
      </c>
      <c r="R65" s="451" t="s">
        <v>117</v>
      </c>
      <c r="S65" s="451" t="s">
        <v>117</v>
      </c>
      <c r="T65" s="451" t="s">
        <v>117</v>
      </c>
      <c r="U65" s="451"/>
    </row>
    <row r="66" spans="1:21" x14ac:dyDescent="0.2">
      <c r="A66" s="630" t="s">
        <v>294</v>
      </c>
      <c r="B66" s="631"/>
      <c r="C66" s="631"/>
      <c r="D66" s="631"/>
      <c r="E66" s="453">
        <f t="shared" ref="E66:U66" si="28">SUM(E65:E65)</f>
        <v>170</v>
      </c>
      <c r="F66" s="453">
        <f t="shared" si="28"/>
        <v>34</v>
      </c>
      <c r="G66" s="453">
        <f t="shared" si="28"/>
        <v>136</v>
      </c>
      <c r="H66" s="454">
        <f t="shared" si="28"/>
        <v>5.7393652937204588E-2</v>
      </c>
      <c r="I66" s="454">
        <f t="shared" si="28"/>
        <v>6.3694267515923567E-2</v>
      </c>
      <c r="J66" s="453">
        <f t="shared" si="28"/>
        <v>135</v>
      </c>
      <c r="K66" s="453">
        <f t="shared" si="28"/>
        <v>35</v>
      </c>
      <c r="L66" s="453">
        <f t="shared" si="28"/>
        <v>65</v>
      </c>
      <c r="M66" s="453">
        <f t="shared" si="28"/>
        <v>30</v>
      </c>
      <c r="N66" s="453">
        <f t="shared" si="28"/>
        <v>42</v>
      </c>
      <c r="O66" s="453">
        <f t="shared" si="28"/>
        <v>33</v>
      </c>
      <c r="P66" s="453">
        <f t="shared" si="28"/>
        <v>0</v>
      </c>
      <c r="Q66" s="453">
        <f t="shared" si="28"/>
        <v>0</v>
      </c>
      <c r="R66" s="453">
        <f t="shared" si="28"/>
        <v>0</v>
      </c>
      <c r="S66" s="453">
        <f t="shared" si="28"/>
        <v>0</v>
      </c>
      <c r="T66" s="453">
        <f t="shared" si="28"/>
        <v>0</v>
      </c>
      <c r="U66" s="453">
        <f t="shared" si="28"/>
        <v>0</v>
      </c>
    </row>
    <row r="67" spans="1:21" x14ac:dyDescent="0.2">
      <c r="A67" s="628" t="s">
        <v>295</v>
      </c>
      <c r="B67" s="629"/>
      <c r="C67" s="629"/>
      <c r="D67" s="629"/>
      <c r="E67" s="455">
        <f>E66</f>
        <v>170</v>
      </c>
      <c r="F67" s="455">
        <f t="shared" ref="F67:U67" si="29">F66</f>
        <v>34</v>
      </c>
      <c r="G67" s="455">
        <f t="shared" si="29"/>
        <v>136</v>
      </c>
      <c r="H67" s="456">
        <f>H66</f>
        <v>5.7393652937204588E-2</v>
      </c>
      <c r="I67" s="457"/>
      <c r="J67" s="455">
        <f t="shared" si="29"/>
        <v>135</v>
      </c>
      <c r="K67" s="455">
        <f t="shared" si="29"/>
        <v>35</v>
      </c>
      <c r="L67" s="455">
        <f t="shared" si="29"/>
        <v>65</v>
      </c>
      <c r="M67" s="455">
        <f t="shared" si="29"/>
        <v>30</v>
      </c>
      <c r="N67" s="455">
        <f t="shared" si="29"/>
        <v>42</v>
      </c>
      <c r="O67" s="455">
        <f t="shared" si="29"/>
        <v>33</v>
      </c>
      <c r="P67" s="455">
        <f t="shared" si="29"/>
        <v>0</v>
      </c>
      <c r="Q67" s="455">
        <f t="shared" si="29"/>
        <v>0</v>
      </c>
      <c r="R67" s="455">
        <f t="shared" si="29"/>
        <v>0</v>
      </c>
      <c r="S67" s="455">
        <f t="shared" si="29"/>
        <v>0</v>
      </c>
      <c r="T67" s="455">
        <f t="shared" si="29"/>
        <v>0</v>
      </c>
      <c r="U67" s="455">
        <f t="shared" si="29"/>
        <v>0</v>
      </c>
    </row>
    <row r="68" spans="1:21" ht="24" customHeight="1" x14ac:dyDescent="0.25">
      <c r="A68" s="458"/>
      <c r="B68" s="458"/>
      <c r="C68" s="458"/>
      <c r="D68" s="458"/>
      <c r="E68" s="458"/>
      <c r="F68" s="458"/>
      <c r="G68" s="458"/>
      <c r="H68" s="458"/>
      <c r="I68" s="458"/>
      <c r="J68" s="458"/>
      <c r="K68" s="458"/>
      <c r="L68" s="458"/>
      <c r="M68" s="458"/>
      <c r="N68" s="458"/>
      <c r="O68" s="458"/>
      <c r="P68" s="458"/>
      <c r="Q68" s="458"/>
      <c r="R68" s="458"/>
      <c r="S68" s="458"/>
      <c r="T68" s="458"/>
      <c r="U68" s="458"/>
    </row>
    <row r="69" spans="1:21" x14ac:dyDescent="0.2">
      <c r="A69" s="218" t="s">
        <v>1435</v>
      </c>
      <c r="B69" s="218" t="s">
        <v>233</v>
      </c>
      <c r="C69" s="449" t="s">
        <v>68</v>
      </c>
      <c r="D69" s="450" t="s">
        <v>395</v>
      </c>
      <c r="E69" s="451">
        <f t="shared" ref="E69:E72" si="30">F69+G69</f>
        <v>121</v>
      </c>
      <c r="F69" s="451">
        <v>108</v>
      </c>
      <c r="G69" s="451">
        <v>13</v>
      </c>
      <c r="H69" s="452">
        <f t="shared" ref="H69:H74" si="31">E69/$E$99</f>
        <v>4.0850776502363267E-2</v>
      </c>
      <c r="I69" s="452">
        <f t="shared" ref="I69:I74" si="32">E69/$E$97</f>
        <v>4.5335331584863248E-2</v>
      </c>
      <c r="J69" s="451">
        <v>97</v>
      </c>
      <c r="K69" s="451">
        <v>24</v>
      </c>
      <c r="L69" s="451">
        <v>24</v>
      </c>
      <c r="M69" s="451">
        <v>23</v>
      </c>
      <c r="N69" s="451">
        <v>31</v>
      </c>
      <c r="O69" s="451">
        <v>43</v>
      </c>
      <c r="P69" s="451" t="s">
        <v>117</v>
      </c>
      <c r="Q69" s="451" t="s">
        <v>117</v>
      </c>
      <c r="R69" s="451" t="s">
        <v>117</v>
      </c>
      <c r="S69" s="451" t="s">
        <v>117</v>
      </c>
      <c r="T69" s="451" t="s">
        <v>117</v>
      </c>
      <c r="U69" s="451"/>
    </row>
    <row r="70" spans="1:21" x14ac:dyDescent="0.2">
      <c r="A70" s="218" t="s">
        <v>1435</v>
      </c>
      <c r="B70" s="218" t="s">
        <v>233</v>
      </c>
      <c r="C70" s="449" t="s">
        <v>68</v>
      </c>
      <c r="D70" s="450" t="s">
        <v>396</v>
      </c>
      <c r="E70" s="451">
        <f t="shared" si="30"/>
        <v>1</v>
      </c>
      <c r="F70" s="451">
        <v>0</v>
      </c>
      <c r="G70" s="451">
        <v>1</v>
      </c>
      <c r="H70" s="452">
        <f t="shared" si="31"/>
        <v>3.3760972316002703E-4</v>
      </c>
      <c r="I70" s="452">
        <f t="shared" si="32"/>
        <v>3.7467216185837392E-4</v>
      </c>
      <c r="J70" s="451">
        <v>0</v>
      </c>
      <c r="K70" s="451">
        <v>1</v>
      </c>
      <c r="L70" s="451">
        <v>0</v>
      </c>
      <c r="M70" s="451">
        <v>0</v>
      </c>
      <c r="N70" s="451">
        <v>0</v>
      </c>
      <c r="O70" s="451">
        <v>1</v>
      </c>
      <c r="P70" s="451" t="s">
        <v>117</v>
      </c>
      <c r="Q70" s="451" t="s">
        <v>117</v>
      </c>
      <c r="R70" s="451" t="s">
        <v>117</v>
      </c>
      <c r="S70" s="451" t="s">
        <v>117</v>
      </c>
      <c r="T70" s="451" t="s">
        <v>117</v>
      </c>
      <c r="U70" s="451"/>
    </row>
    <row r="71" spans="1:21" x14ac:dyDescent="0.2">
      <c r="A71" s="218" t="s">
        <v>1435</v>
      </c>
      <c r="B71" s="459" t="s">
        <v>233</v>
      </c>
      <c r="C71" s="449" t="s">
        <v>68</v>
      </c>
      <c r="D71" s="450" t="s">
        <v>397</v>
      </c>
      <c r="E71" s="451">
        <f t="shared" si="30"/>
        <v>86</v>
      </c>
      <c r="F71" s="451">
        <v>45</v>
      </c>
      <c r="G71" s="451">
        <v>41</v>
      </c>
      <c r="H71" s="452">
        <f t="shared" si="31"/>
        <v>2.9034436191762322E-2</v>
      </c>
      <c r="I71" s="452">
        <f t="shared" si="32"/>
        <v>3.2221805919820157E-2</v>
      </c>
      <c r="J71" s="451">
        <v>63</v>
      </c>
      <c r="K71" s="451">
        <v>23</v>
      </c>
      <c r="L71" s="451">
        <v>24</v>
      </c>
      <c r="M71" s="451">
        <v>12</v>
      </c>
      <c r="N71" s="451">
        <v>21</v>
      </c>
      <c r="O71" s="451">
        <v>29</v>
      </c>
      <c r="P71" s="451" t="s">
        <v>117</v>
      </c>
      <c r="Q71" s="451" t="s">
        <v>117</v>
      </c>
      <c r="R71" s="451" t="s">
        <v>117</v>
      </c>
      <c r="S71" s="451" t="s">
        <v>117</v>
      </c>
      <c r="T71" s="451" t="s">
        <v>117</v>
      </c>
      <c r="U71" s="451"/>
    </row>
    <row r="72" spans="1:21" x14ac:dyDescent="0.2">
      <c r="A72" s="218" t="s">
        <v>1435</v>
      </c>
      <c r="B72" s="459" t="s">
        <v>233</v>
      </c>
      <c r="C72" s="449" t="s">
        <v>68</v>
      </c>
      <c r="D72" s="450" t="s">
        <v>398</v>
      </c>
      <c r="E72" s="451">
        <f t="shared" si="30"/>
        <v>10</v>
      </c>
      <c r="F72" s="451">
        <v>9</v>
      </c>
      <c r="G72" s="451">
        <v>1</v>
      </c>
      <c r="H72" s="452">
        <f t="shared" si="31"/>
        <v>3.37609723160027E-3</v>
      </c>
      <c r="I72" s="452">
        <f t="shared" si="32"/>
        <v>3.7467216185837391E-3</v>
      </c>
      <c r="J72" s="451">
        <v>8</v>
      </c>
      <c r="K72" s="451">
        <v>2</v>
      </c>
      <c r="L72" s="451">
        <v>5</v>
      </c>
      <c r="M72" s="451">
        <v>3</v>
      </c>
      <c r="N72" s="451">
        <v>0</v>
      </c>
      <c r="O72" s="451">
        <v>2</v>
      </c>
      <c r="P72" s="451" t="s">
        <v>117</v>
      </c>
      <c r="Q72" s="451" t="s">
        <v>117</v>
      </c>
      <c r="R72" s="451" t="s">
        <v>117</v>
      </c>
      <c r="S72" s="451" t="s">
        <v>117</v>
      </c>
      <c r="T72" s="451" t="s">
        <v>117</v>
      </c>
      <c r="U72" s="451"/>
    </row>
    <row r="73" spans="1:21" hidden="1" x14ac:dyDescent="0.2">
      <c r="A73" s="218"/>
      <c r="B73" s="218" t="s">
        <v>233</v>
      </c>
      <c r="C73" s="449" t="s">
        <v>68</v>
      </c>
      <c r="D73" s="450"/>
      <c r="E73" s="451"/>
      <c r="F73" s="451"/>
      <c r="G73" s="451"/>
      <c r="H73" s="452">
        <f t="shared" si="31"/>
        <v>0</v>
      </c>
      <c r="I73" s="452">
        <f t="shared" si="32"/>
        <v>0</v>
      </c>
      <c r="J73" s="451"/>
      <c r="K73" s="451"/>
      <c r="L73" s="451"/>
      <c r="M73" s="451"/>
      <c r="N73" s="451"/>
      <c r="O73" s="451"/>
      <c r="P73" s="451"/>
      <c r="Q73" s="451"/>
      <c r="R73" s="451"/>
      <c r="S73" s="451"/>
      <c r="T73" s="451"/>
      <c r="U73" s="451"/>
    </row>
    <row r="74" spans="1:21" hidden="1" x14ac:dyDescent="0.2">
      <c r="A74" s="218"/>
      <c r="B74" s="218" t="s">
        <v>233</v>
      </c>
      <c r="C74" s="449" t="s">
        <v>68</v>
      </c>
      <c r="D74" s="450"/>
      <c r="E74" s="451"/>
      <c r="F74" s="451"/>
      <c r="G74" s="451"/>
      <c r="H74" s="452">
        <f t="shared" si="31"/>
        <v>0</v>
      </c>
      <c r="I74" s="452">
        <f t="shared" si="32"/>
        <v>0</v>
      </c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</row>
    <row r="75" spans="1:21" x14ac:dyDescent="0.2">
      <c r="A75" s="617" t="s">
        <v>234</v>
      </c>
      <c r="B75" s="618"/>
      <c r="C75" s="618"/>
      <c r="D75" s="618"/>
      <c r="E75" s="453">
        <f t="shared" ref="E75:U75" si="33">SUM(E69:E74)</f>
        <v>218</v>
      </c>
      <c r="F75" s="453">
        <f t="shared" si="33"/>
        <v>162</v>
      </c>
      <c r="G75" s="453">
        <f t="shared" si="33"/>
        <v>56</v>
      </c>
      <c r="H75" s="454">
        <f t="shared" si="33"/>
        <v>7.3598919648885888E-2</v>
      </c>
      <c r="I75" s="454">
        <f t="shared" si="33"/>
        <v>8.1678531285125519E-2</v>
      </c>
      <c r="J75" s="453">
        <f t="shared" si="33"/>
        <v>168</v>
      </c>
      <c r="K75" s="453">
        <f t="shared" si="33"/>
        <v>50</v>
      </c>
      <c r="L75" s="453">
        <f t="shared" si="33"/>
        <v>53</v>
      </c>
      <c r="M75" s="453">
        <f t="shared" si="33"/>
        <v>38</v>
      </c>
      <c r="N75" s="453">
        <f t="shared" si="33"/>
        <v>52</v>
      </c>
      <c r="O75" s="453">
        <f t="shared" si="33"/>
        <v>75</v>
      </c>
      <c r="P75" s="453">
        <f t="shared" si="33"/>
        <v>0</v>
      </c>
      <c r="Q75" s="453">
        <f t="shared" si="33"/>
        <v>0</v>
      </c>
      <c r="R75" s="453">
        <f t="shared" si="33"/>
        <v>0</v>
      </c>
      <c r="S75" s="453">
        <f t="shared" si="33"/>
        <v>0</v>
      </c>
      <c r="T75" s="453">
        <f t="shared" si="33"/>
        <v>0</v>
      </c>
      <c r="U75" s="453">
        <f t="shared" si="33"/>
        <v>0</v>
      </c>
    </row>
    <row r="76" spans="1:21" x14ac:dyDescent="0.2">
      <c r="A76" s="218" t="s">
        <v>1435</v>
      </c>
      <c r="B76" s="459" t="s">
        <v>233</v>
      </c>
      <c r="C76" s="460" t="s">
        <v>67</v>
      </c>
      <c r="D76" s="450" t="s">
        <v>399</v>
      </c>
      <c r="E76" s="451">
        <f t="shared" ref="E76:E84" si="34">F76+G76</f>
        <v>17</v>
      </c>
      <c r="F76" s="451">
        <v>10</v>
      </c>
      <c r="G76" s="451">
        <v>7</v>
      </c>
      <c r="H76" s="452">
        <f t="shared" ref="H76:H85" si="35">E76/$E$99</f>
        <v>5.7393652937204592E-3</v>
      </c>
      <c r="I76" s="452">
        <f t="shared" ref="I76:I85" si="36">E76/$E$98</f>
        <v>5.8020477815699661E-2</v>
      </c>
      <c r="J76" s="451">
        <v>2</v>
      </c>
      <c r="K76" s="451">
        <v>15</v>
      </c>
      <c r="L76" s="451" t="s">
        <v>117</v>
      </c>
      <c r="M76" s="451" t="s">
        <v>117</v>
      </c>
      <c r="N76" s="451" t="s">
        <v>117</v>
      </c>
      <c r="O76" s="451" t="s">
        <v>117</v>
      </c>
      <c r="P76" s="451" t="s">
        <v>117</v>
      </c>
      <c r="Q76" s="451" t="s">
        <v>117</v>
      </c>
      <c r="R76" s="451"/>
      <c r="S76" s="451">
        <v>13</v>
      </c>
      <c r="T76" s="451">
        <v>4</v>
      </c>
      <c r="U76" s="451"/>
    </row>
    <row r="77" spans="1:21" x14ac:dyDescent="0.2">
      <c r="A77" s="218" t="s">
        <v>1435</v>
      </c>
      <c r="B77" s="459" t="s">
        <v>233</v>
      </c>
      <c r="C77" s="460" t="s">
        <v>67</v>
      </c>
      <c r="D77" s="450" t="s">
        <v>400</v>
      </c>
      <c r="E77" s="451">
        <f t="shared" si="34"/>
        <v>38</v>
      </c>
      <c r="F77" s="451">
        <v>32</v>
      </c>
      <c r="G77" s="451">
        <v>6</v>
      </c>
      <c r="H77" s="452">
        <f t="shared" si="35"/>
        <v>1.2829169480081027E-2</v>
      </c>
      <c r="I77" s="452">
        <f t="shared" si="36"/>
        <v>0.12969283276450511</v>
      </c>
      <c r="J77" s="451">
        <v>17</v>
      </c>
      <c r="K77" s="451">
        <v>21</v>
      </c>
      <c r="L77" s="451" t="s">
        <v>117</v>
      </c>
      <c r="M77" s="451" t="s">
        <v>117</v>
      </c>
      <c r="N77" s="451" t="s">
        <v>117</v>
      </c>
      <c r="O77" s="451" t="s">
        <v>117</v>
      </c>
      <c r="P77" s="451" t="s">
        <v>117</v>
      </c>
      <c r="Q77" s="451" t="s">
        <v>117</v>
      </c>
      <c r="R77" s="451"/>
      <c r="S77" s="451">
        <v>37</v>
      </c>
      <c r="T77" s="451">
        <v>1</v>
      </c>
      <c r="U77" s="451"/>
    </row>
    <row r="78" spans="1:21" x14ac:dyDescent="0.2">
      <c r="A78" s="218" t="s">
        <v>1435</v>
      </c>
      <c r="B78" s="218" t="s">
        <v>233</v>
      </c>
      <c r="C78" s="460" t="s">
        <v>67</v>
      </c>
      <c r="D78" s="450" t="s">
        <v>395</v>
      </c>
      <c r="E78" s="451">
        <f t="shared" si="34"/>
        <v>1</v>
      </c>
      <c r="F78" s="451">
        <v>1</v>
      </c>
      <c r="G78" s="451">
        <v>0</v>
      </c>
      <c r="H78" s="452">
        <f t="shared" si="35"/>
        <v>3.3760972316002703E-4</v>
      </c>
      <c r="I78" s="452">
        <f t="shared" si="36"/>
        <v>3.4129692832764505E-3</v>
      </c>
      <c r="J78" s="451">
        <v>1</v>
      </c>
      <c r="K78" s="451">
        <v>0</v>
      </c>
      <c r="L78" s="451" t="s">
        <v>117</v>
      </c>
      <c r="M78" s="451" t="s">
        <v>117</v>
      </c>
      <c r="N78" s="451" t="s">
        <v>117</v>
      </c>
      <c r="O78" s="451" t="s">
        <v>117</v>
      </c>
      <c r="P78" s="451" t="s">
        <v>117</v>
      </c>
      <c r="Q78" s="451" t="s">
        <v>117</v>
      </c>
      <c r="R78" s="451"/>
      <c r="S78" s="451">
        <v>0</v>
      </c>
      <c r="T78" s="451">
        <v>1</v>
      </c>
      <c r="U78" s="451"/>
    </row>
    <row r="79" spans="1:21" ht="22.5" x14ac:dyDescent="0.2">
      <c r="A79" s="218" t="s">
        <v>1435</v>
      </c>
      <c r="B79" s="218" t="s">
        <v>233</v>
      </c>
      <c r="C79" s="460" t="s">
        <v>67</v>
      </c>
      <c r="D79" s="218" t="s">
        <v>647</v>
      </c>
      <c r="E79" s="451">
        <f t="shared" si="34"/>
        <v>9</v>
      </c>
      <c r="F79" s="451">
        <v>8</v>
      </c>
      <c r="G79" s="451">
        <v>1</v>
      </c>
      <c r="H79" s="452">
        <f t="shared" si="35"/>
        <v>3.0384875084402429E-3</v>
      </c>
      <c r="I79" s="452">
        <f t="shared" si="36"/>
        <v>3.0716723549488054E-2</v>
      </c>
      <c r="J79" s="451">
        <v>0</v>
      </c>
      <c r="K79" s="451">
        <v>9</v>
      </c>
      <c r="L79" s="451" t="s">
        <v>117</v>
      </c>
      <c r="M79" s="451" t="s">
        <v>117</v>
      </c>
      <c r="N79" s="451" t="s">
        <v>117</v>
      </c>
      <c r="O79" s="451" t="s">
        <v>117</v>
      </c>
      <c r="P79" s="451" t="s">
        <v>117</v>
      </c>
      <c r="Q79" s="451" t="s">
        <v>117</v>
      </c>
      <c r="R79" s="451"/>
      <c r="S79" s="451">
        <v>8</v>
      </c>
      <c r="T79" s="451">
        <v>1</v>
      </c>
      <c r="U79" s="451"/>
    </row>
    <row r="80" spans="1:21" x14ac:dyDescent="0.2">
      <c r="A80" s="218" t="s">
        <v>1435</v>
      </c>
      <c r="B80" s="218" t="s">
        <v>233</v>
      </c>
      <c r="C80" s="460" t="s">
        <v>67</v>
      </c>
      <c r="D80" s="450" t="s">
        <v>648</v>
      </c>
      <c r="E80" s="451">
        <f t="shared" si="34"/>
        <v>38</v>
      </c>
      <c r="F80" s="451">
        <v>30</v>
      </c>
      <c r="G80" s="451">
        <v>8</v>
      </c>
      <c r="H80" s="452">
        <f t="shared" si="35"/>
        <v>1.2829169480081027E-2</v>
      </c>
      <c r="I80" s="452">
        <f t="shared" si="36"/>
        <v>0.12969283276450511</v>
      </c>
      <c r="J80" s="451">
        <v>0</v>
      </c>
      <c r="K80" s="451">
        <v>38</v>
      </c>
      <c r="L80" s="451" t="s">
        <v>117</v>
      </c>
      <c r="M80" s="451" t="s">
        <v>117</v>
      </c>
      <c r="N80" s="451" t="s">
        <v>117</v>
      </c>
      <c r="O80" s="451" t="s">
        <v>117</v>
      </c>
      <c r="P80" s="451" t="s">
        <v>117</v>
      </c>
      <c r="Q80" s="451" t="s">
        <v>117</v>
      </c>
      <c r="R80" s="451"/>
      <c r="S80" s="451">
        <v>37</v>
      </c>
      <c r="T80" s="451">
        <v>1</v>
      </c>
      <c r="U80" s="451"/>
    </row>
    <row r="81" spans="1:21" x14ac:dyDescent="0.2">
      <c r="A81" s="218" t="s">
        <v>1435</v>
      </c>
      <c r="B81" s="459" t="s">
        <v>233</v>
      </c>
      <c r="C81" s="460" t="s">
        <v>67</v>
      </c>
      <c r="D81" s="461" t="s">
        <v>638</v>
      </c>
      <c r="E81" s="451">
        <f t="shared" si="34"/>
        <v>5</v>
      </c>
      <c r="F81" s="451">
        <v>3</v>
      </c>
      <c r="G81" s="451">
        <v>2</v>
      </c>
      <c r="H81" s="452">
        <f t="shared" si="35"/>
        <v>1.688048615800135E-3</v>
      </c>
      <c r="I81" s="452">
        <f t="shared" si="36"/>
        <v>1.7064846416382253E-2</v>
      </c>
      <c r="J81" s="451">
        <v>0</v>
      </c>
      <c r="K81" s="451">
        <v>5</v>
      </c>
      <c r="L81" s="451" t="s">
        <v>117</v>
      </c>
      <c r="M81" s="451" t="s">
        <v>117</v>
      </c>
      <c r="N81" s="451" t="s">
        <v>117</v>
      </c>
      <c r="O81" s="451" t="s">
        <v>117</v>
      </c>
      <c r="P81" s="451" t="s">
        <v>117</v>
      </c>
      <c r="Q81" s="451" t="s">
        <v>117</v>
      </c>
      <c r="R81" s="451"/>
      <c r="S81" s="451">
        <v>5</v>
      </c>
      <c r="T81" s="451">
        <v>0</v>
      </c>
      <c r="U81" s="451"/>
    </row>
    <row r="82" spans="1:21" x14ac:dyDescent="0.2">
      <c r="A82" s="218" t="s">
        <v>1435</v>
      </c>
      <c r="B82" s="218" t="s">
        <v>233</v>
      </c>
      <c r="C82" s="460" t="s">
        <v>67</v>
      </c>
      <c r="D82" s="461" t="s">
        <v>637</v>
      </c>
      <c r="E82" s="451">
        <f t="shared" si="34"/>
        <v>27</v>
      </c>
      <c r="F82" s="451">
        <v>13</v>
      </c>
      <c r="G82" s="451">
        <v>14</v>
      </c>
      <c r="H82" s="452">
        <f t="shared" si="35"/>
        <v>9.1154625253207291E-3</v>
      </c>
      <c r="I82" s="452">
        <f t="shared" si="36"/>
        <v>9.2150170648464161E-2</v>
      </c>
      <c r="J82" s="451">
        <v>18</v>
      </c>
      <c r="K82" s="451">
        <v>9</v>
      </c>
      <c r="L82" s="451" t="s">
        <v>117</v>
      </c>
      <c r="M82" s="451" t="s">
        <v>117</v>
      </c>
      <c r="N82" s="451" t="s">
        <v>117</v>
      </c>
      <c r="O82" s="451" t="s">
        <v>117</v>
      </c>
      <c r="P82" s="451" t="s">
        <v>117</v>
      </c>
      <c r="Q82" s="451" t="s">
        <v>117</v>
      </c>
      <c r="R82" s="451"/>
      <c r="S82" s="451">
        <v>27</v>
      </c>
      <c r="T82" s="451">
        <v>0</v>
      </c>
      <c r="U82" s="451"/>
    </row>
    <row r="83" spans="1:21" hidden="1" x14ac:dyDescent="0.2">
      <c r="A83" s="218" t="s">
        <v>1435</v>
      </c>
      <c r="B83" s="459" t="s">
        <v>233</v>
      </c>
      <c r="C83" s="460" t="s">
        <v>67</v>
      </c>
      <c r="D83" s="450" t="s">
        <v>650</v>
      </c>
      <c r="E83" s="451"/>
      <c r="F83" s="451"/>
      <c r="G83" s="451"/>
      <c r="H83" s="452"/>
      <c r="I83" s="452"/>
      <c r="J83" s="451"/>
      <c r="K83" s="451"/>
      <c r="L83" s="451"/>
      <c r="M83" s="451"/>
      <c r="N83" s="451"/>
      <c r="O83" s="451"/>
      <c r="P83" s="451"/>
      <c r="Q83" s="451"/>
      <c r="R83" s="451"/>
      <c r="S83" s="451"/>
      <c r="T83" s="451"/>
      <c r="U83" s="451"/>
    </row>
    <row r="84" spans="1:21" ht="24.6" hidden="1" customHeight="1" x14ac:dyDescent="0.2">
      <c r="A84" s="218" t="s">
        <v>1435</v>
      </c>
      <c r="B84" s="218" t="s">
        <v>233</v>
      </c>
      <c r="C84" s="460" t="s">
        <v>67</v>
      </c>
      <c r="D84" s="218" t="s">
        <v>402</v>
      </c>
      <c r="E84" s="451"/>
      <c r="F84" s="451"/>
      <c r="G84" s="451"/>
      <c r="H84" s="452"/>
      <c r="I84" s="452"/>
      <c r="J84" s="451"/>
      <c r="K84" s="451"/>
      <c r="L84" s="451"/>
      <c r="M84" s="451"/>
      <c r="N84" s="451"/>
      <c r="O84" s="451"/>
      <c r="P84" s="451"/>
      <c r="Q84" s="451"/>
      <c r="R84" s="451"/>
      <c r="S84" s="451"/>
      <c r="T84" s="451"/>
      <c r="U84" s="451"/>
    </row>
    <row r="85" spans="1:21" hidden="1" x14ac:dyDescent="0.2">
      <c r="A85" s="218"/>
      <c r="B85" s="218" t="s">
        <v>233</v>
      </c>
      <c r="C85" s="460" t="s">
        <v>67</v>
      </c>
      <c r="D85" s="218"/>
      <c r="E85" s="451"/>
      <c r="F85" s="451"/>
      <c r="G85" s="451"/>
      <c r="H85" s="452">
        <f t="shared" si="35"/>
        <v>0</v>
      </c>
      <c r="I85" s="452">
        <f t="shared" si="36"/>
        <v>0</v>
      </c>
      <c r="J85" s="451"/>
      <c r="K85" s="451"/>
      <c r="L85" s="451"/>
      <c r="M85" s="451"/>
      <c r="N85" s="451"/>
      <c r="O85" s="451"/>
      <c r="P85" s="451"/>
      <c r="Q85" s="451"/>
      <c r="R85" s="451"/>
      <c r="S85" s="451"/>
      <c r="T85" s="451"/>
      <c r="U85" s="451"/>
    </row>
    <row r="86" spans="1:21" ht="18.75" customHeight="1" x14ac:dyDescent="0.2">
      <c r="A86" s="630" t="s">
        <v>235</v>
      </c>
      <c r="B86" s="631"/>
      <c r="C86" s="631"/>
      <c r="D86" s="631"/>
      <c r="E86" s="453">
        <f>SUM(E76:E85)</f>
        <v>135</v>
      </c>
      <c r="F86" s="453">
        <f t="shared" ref="F86:G86" si="37">SUM(F76:F85)</f>
        <v>97</v>
      </c>
      <c r="G86" s="453">
        <f t="shared" si="37"/>
        <v>38</v>
      </c>
      <c r="H86" s="454">
        <f>SUM(H76:H85)</f>
        <v>4.5577312626603653E-2</v>
      </c>
      <c r="I86" s="454">
        <f>SUM(I76:I85)</f>
        <v>0.46075085324232073</v>
      </c>
      <c r="J86" s="453">
        <f>SUM(J76:J84)</f>
        <v>38</v>
      </c>
      <c r="K86" s="453">
        <f t="shared" ref="K86:U86" si="38">SUM(K76:K84)</f>
        <v>97</v>
      </c>
      <c r="L86" s="453">
        <f t="shared" si="38"/>
        <v>0</v>
      </c>
      <c r="M86" s="453">
        <f t="shared" si="38"/>
        <v>0</v>
      </c>
      <c r="N86" s="453">
        <f t="shared" si="38"/>
        <v>0</v>
      </c>
      <c r="O86" s="453">
        <f t="shared" si="38"/>
        <v>0</v>
      </c>
      <c r="P86" s="453">
        <f t="shared" si="38"/>
        <v>0</v>
      </c>
      <c r="Q86" s="453">
        <f t="shared" si="38"/>
        <v>0</v>
      </c>
      <c r="R86" s="453">
        <f t="shared" si="38"/>
        <v>0</v>
      </c>
      <c r="S86" s="453">
        <f t="shared" si="38"/>
        <v>127</v>
      </c>
      <c r="T86" s="453">
        <f t="shared" si="38"/>
        <v>8</v>
      </c>
      <c r="U86" s="453">
        <f t="shared" si="38"/>
        <v>0</v>
      </c>
    </row>
    <row r="87" spans="1:21" x14ac:dyDescent="0.2">
      <c r="A87" s="628" t="s">
        <v>236</v>
      </c>
      <c r="B87" s="629"/>
      <c r="C87" s="629"/>
      <c r="D87" s="629"/>
      <c r="E87" s="455">
        <f>E75+E86</f>
        <v>353</v>
      </c>
      <c r="F87" s="455">
        <f>F75+F86</f>
        <v>259</v>
      </c>
      <c r="G87" s="455">
        <f>G75+G86</f>
        <v>94</v>
      </c>
      <c r="H87" s="456">
        <f>H75+H86</f>
        <v>0.11917623227548954</v>
      </c>
      <c r="I87" s="457"/>
      <c r="J87" s="455">
        <f>J75+J86</f>
        <v>206</v>
      </c>
      <c r="K87" s="455">
        <f t="shared" ref="K87:U87" si="39">K75+K86</f>
        <v>147</v>
      </c>
      <c r="L87" s="455">
        <f t="shared" si="39"/>
        <v>53</v>
      </c>
      <c r="M87" s="455">
        <f t="shared" si="39"/>
        <v>38</v>
      </c>
      <c r="N87" s="455">
        <f t="shared" si="39"/>
        <v>52</v>
      </c>
      <c r="O87" s="455">
        <f t="shared" si="39"/>
        <v>75</v>
      </c>
      <c r="P87" s="455">
        <f t="shared" si="39"/>
        <v>0</v>
      </c>
      <c r="Q87" s="455">
        <f t="shared" si="39"/>
        <v>0</v>
      </c>
      <c r="R87" s="455">
        <f t="shared" si="39"/>
        <v>0</v>
      </c>
      <c r="S87" s="455">
        <f t="shared" si="39"/>
        <v>127</v>
      </c>
      <c r="T87" s="455">
        <f t="shared" si="39"/>
        <v>8</v>
      </c>
      <c r="U87" s="455">
        <f t="shared" si="39"/>
        <v>0</v>
      </c>
    </row>
    <row r="88" spans="1:21" ht="3" customHeight="1" x14ac:dyDescent="0.25">
      <c r="A88" s="458"/>
      <c r="B88" s="458"/>
      <c r="C88" s="458"/>
      <c r="D88" s="458"/>
      <c r="E88" s="458"/>
      <c r="F88" s="458"/>
      <c r="G88" s="458"/>
      <c r="H88" s="458"/>
      <c r="I88" s="458"/>
      <c r="J88" s="458"/>
      <c r="K88" s="458"/>
      <c r="L88" s="458"/>
      <c r="M88" s="458"/>
      <c r="N88" s="458"/>
      <c r="O88" s="458"/>
      <c r="P88" s="458"/>
      <c r="Q88" s="458"/>
      <c r="R88" s="458"/>
      <c r="S88" s="458"/>
      <c r="T88" s="458"/>
      <c r="U88" s="458"/>
    </row>
    <row r="89" spans="1:21" x14ac:dyDescent="0.2">
      <c r="A89" s="218" t="s">
        <v>1435</v>
      </c>
      <c r="B89" s="218" t="s">
        <v>324</v>
      </c>
      <c r="C89" s="449" t="s">
        <v>68</v>
      </c>
      <c r="D89" s="450" t="s">
        <v>293</v>
      </c>
      <c r="E89" s="451">
        <f t="shared" ref="E89:E91" si="40">F89+G89</f>
        <v>133</v>
      </c>
      <c r="F89" s="451">
        <v>64</v>
      </c>
      <c r="G89" s="451">
        <v>69</v>
      </c>
      <c r="H89" s="452">
        <f>E89/$E$99</f>
        <v>4.4902093180283591E-2</v>
      </c>
      <c r="I89" s="452">
        <f>E89/$E$97</f>
        <v>4.9831397527163729E-2</v>
      </c>
      <c r="J89" s="451">
        <v>99</v>
      </c>
      <c r="K89" s="451">
        <v>34</v>
      </c>
      <c r="L89" s="451">
        <v>40</v>
      </c>
      <c r="M89" s="451">
        <v>15</v>
      </c>
      <c r="N89" s="451">
        <v>27</v>
      </c>
      <c r="O89" s="451">
        <v>51</v>
      </c>
      <c r="P89" s="451" t="s">
        <v>117</v>
      </c>
      <c r="Q89" s="451" t="s">
        <v>117</v>
      </c>
      <c r="R89" s="451" t="s">
        <v>117</v>
      </c>
      <c r="S89" s="451" t="s">
        <v>117</v>
      </c>
      <c r="T89" s="451" t="s">
        <v>117</v>
      </c>
      <c r="U89" s="451"/>
    </row>
    <row r="90" spans="1:21" x14ac:dyDescent="0.2">
      <c r="A90" s="218" t="s">
        <v>1435</v>
      </c>
      <c r="B90" s="218" t="s">
        <v>324</v>
      </c>
      <c r="C90" s="449" t="s">
        <v>68</v>
      </c>
      <c r="D90" s="450" t="s">
        <v>403</v>
      </c>
      <c r="E90" s="451">
        <f t="shared" si="40"/>
        <v>55</v>
      </c>
      <c r="F90" s="451">
        <v>44</v>
      </c>
      <c r="G90" s="451">
        <v>11</v>
      </c>
      <c r="H90" s="452">
        <f>E90/$E$99</f>
        <v>1.8568534773801486E-2</v>
      </c>
      <c r="I90" s="452">
        <f>E90/$E$97</f>
        <v>2.0606968902210566E-2</v>
      </c>
      <c r="J90" s="451">
        <v>51</v>
      </c>
      <c r="K90" s="451">
        <v>4</v>
      </c>
      <c r="L90" s="451">
        <v>1</v>
      </c>
      <c r="M90" s="451">
        <v>0</v>
      </c>
      <c r="N90" s="451">
        <v>16</v>
      </c>
      <c r="O90" s="451">
        <v>38</v>
      </c>
      <c r="P90" s="451" t="s">
        <v>117</v>
      </c>
      <c r="Q90" s="451" t="s">
        <v>117</v>
      </c>
      <c r="R90" s="451" t="s">
        <v>117</v>
      </c>
      <c r="S90" s="451" t="s">
        <v>117</v>
      </c>
      <c r="T90" s="451" t="s">
        <v>117</v>
      </c>
      <c r="U90" s="451"/>
    </row>
    <row r="91" spans="1:21" x14ac:dyDescent="0.2">
      <c r="A91" s="218" t="s">
        <v>1435</v>
      </c>
      <c r="B91" s="218" t="s">
        <v>324</v>
      </c>
      <c r="C91" s="449" t="s">
        <v>68</v>
      </c>
      <c r="D91" s="450" t="s">
        <v>404</v>
      </c>
      <c r="E91" s="451">
        <f t="shared" si="40"/>
        <v>238</v>
      </c>
      <c r="F91" s="451">
        <v>176</v>
      </c>
      <c r="G91" s="451">
        <v>62</v>
      </c>
      <c r="H91" s="452">
        <f>E91/$E$99</f>
        <v>8.0351114112086425E-2</v>
      </c>
      <c r="I91" s="452">
        <f>E91/$E$97</f>
        <v>8.9171974522292988E-2</v>
      </c>
      <c r="J91" s="451">
        <v>152</v>
      </c>
      <c r="K91" s="451">
        <v>86</v>
      </c>
      <c r="L91" s="451">
        <v>121</v>
      </c>
      <c r="M91" s="451">
        <v>56</v>
      </c>
      <c r="N91" s="451">
        <v>39</v>
      </c>
      <c r="O91" s="451">
        <v>22</v>
      </c>
      <c r="P91" s="451" t="s">
        <v>117</v>
      </c>
      <c r="Q91" s="451" t="s">
        <v>117</v>
      </c>
      <c r="R91" s="451" t="s">
        <v>117</v>
      </c>
      <c r="S91" s="451" t="s">
        <v>117</v>
      </c>
      <c r="T91" s="451" t="s">
        <v>117</v>
      </c>
      <c r="U91" s="451"/>
    </row>
    <row r="92" spans="1:21" x14ac:dyDescent="0.2">
      <c r="A92" s="218" t="s">
        <v>1435</v>
      </c>
      <c r="B92" s="459" t="s">
        <v>324</v>
      </c>
      <c r="C92" s="460" t="s">
        <v>68</v>
      </c>
      <c r="D92" s="450" t="s">
        <v>382</v>
      </c>
      <c r="E92" s="451">
        <f>F92+G92</f>
        <v>21</v>
      </c>
      <c r="F92" s="451">
        <v>19</v>
      </c>
      <c r="G92" s="451">
        <v>2</v>
      </c>
      <c r="H92" s="452">
        <f>E92/$E$99</f>
        <v>7.0898041863605675E-3</v>
      </c>
      <c r="I92" s="452">
        <f>E92/$E$97</f>
        <v>7.8681153990258525E-3</v>
      </c>
      <c r="J92" s="451">
        <v>18</v>
      </c>
      <c r="K92" s="451">
        <v>3</v>
      </c>
      <c r="L92" s="451">
        <v>9</v>
      </c>
      <c r="M92" s="451">
        <v>2</v>
      </c>
      <c r="N92" s="451">
        <v>7</v>
      </c>
      <c r="O92" s="451">
        <v>3</v>
      </c>
      <c r="P92" s="451" t="s">
        <v>117</v>
      </c>
      <c r="Q92" s="451" t="s">
        <v>117</v>
      </c>
      <c r="R92" s="451" t="s">
        <v>117</v>
      </c>
      <c r="S92" s="451" t="s">
        <v>117</v>
      </c>
      <c r="T92" s="451" t="s">
        <v>117</v>
      </c>
      <c r="U92" s="451"/>
    </row>
    <row r="93" spans="1:21" x14ac:dyDescent="0.2">
      <c r="A93" s="218" t="s">
        <v>1435</v>
      </c>
      <c r="B93" s="218" t="s">
        <v>324</v>
      </c>
      <c r="C93" s="449" t="s">
        <v>68</v>
      </c>
      <c r="D93" s="450" t="s">
        <v>405</v>
      </c>
      <c r="E93" s="451">
        <f>F93+G93</f>
        <v>50</v>
      </c>
      <c r="F93" s="451">
        <v>38</v>
      </c>
      <c r="G93" s="451">
        <v>12</v>
      </c>
      <c r="H93" s="452">
        <f>E93/$E$99</f>
        <v>1.6880486158001352E-2</v>
      </c>
      <c r="I93" s="452">
        <f>E93/$E$97</f>
        <v>1.8733608092918696E-2</v>
      </c>
      <c r="J93" s="451">
        <v>40</v>
      </c>
      <c r="K93" s="451">
        <v>10</v>
      </c>
      <c r="L93" s="451">
        <v>4</v>
      </c>
      <c r="M93" s="451">
        <v>5</v>
      </c>
      <c r="N93" s="451">
        <v>14</v>
      </c>
      <c r="O93" s="451">
        <v>27</v>
      </c>
      <c r="P93" s="451" t="s">
        <v>117</v>
      </c>
      <c r="Q93" s="451" t="s">
        <v>117</v>
      </c>
      <c r="R93" s="451" t="s">
        <v>117</v>
      </c>
      <c r="S93" s="451" t="s">
        <v>117</v>
      </c>
      <c r="T93" s="451" t="s">
        <v>117</v>
      </c>
      <c r="U93" s="451"/>
    </row>
    <row r="94" spans="1:21" x14ac:dyDescent="0.2">
      <c r="A94" s="630" t="s">
        <v>332</v>
      </c>
      <c r="B94" s="631"/>
      <c r="C94" s="631"/>
      <c r="D94" s="631"/>
      <c r="E94" s="453">
        <f t="shared" ref="E94:U94" si="41">SUM(E89:E93)</f>
        <v>497</v>
      </c>
      <c r="F94" s="453">
        <f t="shared" si="41"/>
        <v>341</v>
      </c>
      <c r="G94" s="453">
        <f t="shared" si="41"/>
        <v>156</v>
      </c>
      <c r="H94" s="454">
        <f t="shared" si="41"/>
        <v>0.16779203241053342</v>
      </c>
      <c r="I94" s="454">
        <f t="shared" si="41"/>
        <v>0.1862120644436118</v>
      </c>
      <c r="J94" s="453">
        <f t="shared" si="41"/>
        <v>360</v>
      </c>
      <c r="K94" s="453">
        <f t="shared" si="41"/>
        <v>137</v>
      </c>
      <c r="L94" s="453">
        <f t="shared" si="41"/>
        <v>175</v>
      </c>
      <c r="M94" s="453">
        <f t="shared" si="41"/>
        <v>78</v>
      </c>
      <c r="N94" s="453">
        <f t="shared" si="41"/>
        <v>103</v>
      </c>
      <c r="O94" s="453">
        <f t="shared" si="41"/>
        <v>141</v>
      </c>
      <c r="P94" s="453">
        <f t="shared" si="41"/>
        <v>0</v>
      </c>
      <c r="Q94" s="453">
        <f t="shared" si="41"/>
        <v>0</v>
      </c>
      <c r="R94" s="453">
        <f t="shared" si="41"/>
        <v>0</v>
      </c>
      <c r="S94" s="453">
        <f t="shared" si="41"/>
        <v>0</v>
      </c>
      <c r="T94" s="453">
        <f t="shared" si="41"/>
        <v>0</v>
      </c>
      <c r="U94" s="453">
        <f t="shared" si="41"/>
        <v>0</v>
      </c>
    </row>
    <row r="95" spans="1:21" x14ac:dyDescent="0.2">
      <c r="A95" s="628" t="s">
        <v>331</v>
      </c>
      <c r="B95" s="629"/>
      <c r="C95" s="629"/>
      <c r="D95" s="629"/>
      <c r="E95" s="455">
        <f>E94</f>
        <v>497</v>
      </c>
      <c r="F95" s="455">
        <f t="shared" ref="F95:U95" si="42">F94</f>
        <v>341</v>
      </c>
      <c r="G95" s="455">
        <f t="shared" si="42"/>
        <v>156</v>
      </c>
      <c r="H95" s="456">
        <f>H94</f>
        <v>0.16779203241053342</v>
      </c>
      <c r="I95" s="457"/>
      <c r="J95" s="455">
        <f t="shared" si="42"/>
        <v>360</v>
      </c>
      <c r="K95" s="455">
        <f t="shared" si="42"/>
        <v>137</v>
      </c>
      <c r="L95" s="455">
        <f t="shared" si="42"/>
        <v>175</v>
      </c>
      <c r="M95" s="455">
        <f t="shared" si="42"/>
        <v>78</v>
      </c>
      <c r="N95" s="455">
        <f t="shared" si="42"/>
        <v>103</v>
      </c>
      <c r="O95" s="455">
        <f t="shared" si="42"/>
        <v>141</v>
      </c>
      <c r="P95" s="455">
        <f t="shared" si="42"/>
        <v>0</v>
      </c>
      <c r="Q95" s="455">
        <f t="shared" si="42"/>
        <v>0</v>
      </c>
      <c r="R95" s="455">
        <f t="shared" si="42"/>
        <v>0</v>
      </c>
      <c r="S95" s="455">
        <f t="shared" si="42"/>
        <v>0</v>
      </c>
      <c r="T95" s="455">
        <f t="shared" si="42"/>
        <v>0</v>
      </c>
      <c r="U95" s="455">
        <f t="shared" si="42"/>
        <v>0</v>
      </c>
    </row>
    <row r="96" spans="1:21" ht="3" customHeight="1" x14ac:dyDescent="0.25">
      <c r="A96" s="458"/>
      <c r="B96" s="458"/>
      <c r="C96" s="458"/>
      <c r="D96" s="458"/>
      <c r="E96" s="458"/>
      <c r="F96" s="458"/>
      <c r="G96" s="458"/>
      <c r="H96" s="458"/>
      <c r="I96" s="458"/>
      <c r="J96" s="458"/>
      <c r="K96" s="458"/>
      <c r="L96" s="458"/>
      <c r="M96" s="458"/>
      <c r="N96" s="458"/>
      <c r="O96" s="458"/>
      <c r="P96" s="458"/>
      <c r="Q96" s="458"/>
      <c r="R96" s="458"/>
      <c r="S96" s="458"/>
      <c r="T96" s="458"/>
      <c r="U96" s="458"/>
    </row>
    <row r="97" spans="1:21" x14ac:dyDescent="0.2">
      <c r="A97" s="632" t="s">
        <v>237</v>
      </c>
      <c r="B97" s="633"/>
      <c r="C97" s="633"/>
      <c r="D97" s="633"/>
      <c r="E97" s="462">
        <f>E22+E39+E50+E59+E66+E94+E75</f>
        <v>2669</v>
      </c>
      <c r="F97" s="462">
        <f>F22+F39+F50+F59+F66+F94+F75</f>
        <v>1535</v>
      </c>
      <c r="G97" s="462">
        <f>G22+G39+G50+G59+G66+G94+G75</f>
        <v>1134</v>
      </c>
      <c r="H97" s="463">
        <f>E97/E99</f>
        <v>0.90108035111411211</v>
      </c>
      <c r="I97" s="462"/>
      <c r="J97" s="462">
        <f t="shared" ref="J97:U97" si="43">J22+J39+J50+J59+J66+J94+J75</f>
        <v>2037</v>
      </c>
      <c r="K97" s="462">
        <f t="shared" si="43"/>
        <v>632</v>
      </c>
      <c r="L97" s="462">
        <f t="shared" si="43"/>
        <v>921</v>
      </c>
      <c r="M97" s="462">
        <f t="shared" si="43"/>
        <v>481</v>
      </c>
      <c r="N97" s="462">
        <f t="shared" si="43"/>
        <v>516</v>
      </c>
      <c r="O97" s="462">
        <f t="shared" si="43"/>
        <v>706</v>
      </c>
      <c r="P97" s="462">
        <f t="shared" si="43"/>
        <v>36</v>
      </c>
      <c r="Q97" s="462">
        <f t="shared" si="43"/>
        <v>9</v>
      </c>
      <c r="R97" s="462">
        <f t="shared" si="43"/>
        <v>0</v>
      </c>
      <c r="S97" s="462">
        <f t="shared" si="43"/>
        <v>0</v>
      </c>
      <c r="T97" s="462">
        <f t="shared" si="43"/>
        <v>0</v>
      </c>
      <c r="U97" s="462">
        <f t="shared" si="43"/>
        <v>0</v>
      </c>
    </row>
    <row r="98" spans="1:21" x14ac:dyDescent="0.2">
      <c r="A98" s="632" t="s">
        <v>238</v>
      </c>
      <c r="B98" s="633"/>
      <c r="C98" s="633"/>
      <c r="D98" s="633"/>
      <c r="E98" s="462">
        <f>E27+E43+E62+E86</f>
        <v>293</v>
      </c>
      <c r="F98" s="462">
        <f>F27+F43+F62+F86</f>
        <v>192</v>
      </c>
      <c r="G98" s="462">
        <f>G27+G43+G62+G86</f>
        <v>101</v>
      </c>
      <c r="H98" s="463">
        <f>E98/E99</f>
        <v>9.8919648885887917E-2</v>
      </c>
      <c r="I98" s="462"/>
      <c r="J98" s="462">
        <f t="shared" ref="J98:U98" si="44">J27+J43+J62+J86</f>
        <v>99</v>
      </c>
      <c r="K98" s="462">
        <f t="shared" si="44"/>
        <v>194</v>
      </c>
      <c r="L98" s="462">
        <f t="shared" si="44"/>
        <v>0</v>
      </c>
      <c r="M98" s="462">
        <f t="shared" si="44"/>
        <v>0</v>
      </c>
      <c r="N98" s="462">
        <f t="shared" si="44"/>
        <v>0</v>
      </c>
      <c r="O98" s="462">
        <f t="shared" si="44"/>
        <v>0</v>
      </c>
      <c r="P98" s="462">
        <f t="shared" si="44"/>
        <v>0</v>
      </c>
      <c r="Q98" s="462">
        <f t="shared" si="44"/>
        <v>0</v>
      </c>
      <c r="R98" s="462">
        <f t="shared" si="44"/>
        <v>0</v>
      </c>
      <c r="S98" s="462">
        <f t="shared" si="44"/>
        <v>281</v>
      </c>
      <c r="T98" s="462">
        <f t="shared" si="44"/>
        <v>12</v>
      </c>
      <c r="U98" s="462">
        <f t="shared" si="44"/>
        <v>0</v>
      </c>
    </row>
    <row r="99" spans="1:21" x14ac:dyDescent="0.2">
      <c r="A99" s="634" t="s">
        <v>239</v>
      </c>
      <c r="B99" s="635"/>
      <c r="C99" s="635"/>
      <c r="D99" s="635"/>
      <c r="E99" s="464">
        <f>E28+E44+E51+E63+E67+E95+E87</f>
        <v>2962</v>
      </c>
      <c r="F99" s="464">
        <f>F28+F44+F51+F63+F67+F95+F87</f>
        <v>1727</v>
      </c>
      <c r="G99" s="464">
        <f>G28+G44+G51+G63+G67+G95+G87</f>
        <v>1235</v>
      </c>
      <c r="H99" s="465">
        <f>H97+H98</f>
        <v>1</v>
      </c>
      <c r="I99" s="464"/>
      <c r="J99" s="464">
        <f t="shared" ref="J99:U99" si="45">J28+J44+J51+J63+J67+J95+J87</f>
        <v>2136</v>
      </c>
      <c r="K99" s="464">
        <f t="shared" si="45"/>
        <v>826</v>
      </c>
      <c r="L99" s="464">
        <f t="shared" si="45"/>
        <v>921</v>
      </c>
      <c r="M99" s="464">
        <f t="shared" si="45"/>
        <v>481</v>
      </c>
      <c r="N99" s="464">
        <f t="shared" si="45"/>
        <v>516</v>
      </c>
      <c r="O99" s="464">
        <f t="shared" si="45"/>
        <v>706</v>
      </c>
      <c r="P99" s="464">
        <f t="shared" si="45"/>
        <v>36</v>
      </c>
      <c r="Q99" s="464">
        <f t="shared" si="45"/>
        <v>9</v>
      </c>
      <c r="R99" s="464">
        <f t="shared" si="45"/>
        <v>0</v>
      </c>
      <c r="S99" s="464">
        <f t="shared" si="45"/>
        <v>281</v>
      </c>
      <c r="T99" s="464">
        <f t="shared" si="45"/>
        <v>12</v>
      </c>
      <c r="U99" s="464">
        <f t="shared" si="45"/>
        <v>0</v>
      </c>
    </row>
    <row r="100" spans="1:21" ht="12.6" customHeight="1" x14ac:dyDescent="0.2">
      <c r="F100" s="213">
        <f>F99/$E$99</f>
        <v>0.58305199189736667</v>
      </c>
      <c r="G100" s="213">
        <f>G99/$E$99</f>
        <v>0.41694800810263338</v>
      </c>
      <c r="J100" s="213">
        <f>J99/$E$99</f>
        <v>0.72113436866981773</v>
      </c>
      <c r="K100" s="213">
        <f>K99/$E$99</f>
        <v>0.27886563133018233</v>
      </c>
      <c r="L100" s="213">
        <f>L99/$E$99</f>
        <v>0.31093855503038487</v>
      </c>
      <c r="M100" s="213">
        <f>M99/$E$99</f>
        <v>0.16239027683997298</v>
      </c>
      <c r="N100" s="213">
        <f t="shared" ref="N100:U100" si="46">N99/$E$99</f>
        <v>0.17420661715057395</v>
      </c>
      <c r="O100" s="213">
        <f>O99/$E$99</f>
        <v>0.23835246455097908</v>
      </c>
      <c r="P100" s="213">
        <f t="shared" si="46"/>
        <v>1.2153950033760972E-2</v>
      </c>
      <c r="Q100" s="213">
        <f t="shared" si="46"/>
        <v>3.0384875084402429E-3</v>
      </c>
      <c r="R100" s="213">
        <f t="shared" si="46"/>
        <v>0</v>
      </c>
      <c r="S100" s="213">
        <f t="shared" si="46"/>
        <v>9.4868332207967587E-2</v>
      </c>
      <c r="T100" s="213">
        <f>T99/$E$99</f>
        <v>4.0513166779203242E-3</v>
      </c>
      <c r="U100" s="213">
        <f t="shared" si="46"/>
        <v>0</v>
      </c>
    </row>
    <row r="101" spans="1:21" x14ac:dyDescent="0.2">
      <c r="L101" s="466"/>
    </row>
    <row r="102" spans="1:21" x14ac:dyDescent="0.2">
      <c r="C102" s="29" t="s">
        <v>670</v>
      </c>
    </row>
  </sheetData>
  <mergeCells count="32">
    <mergeCell ref="A98:D98"/>
    <mergeCell ref="A99:D99"/>
    <mergeCell ref="A94:D94"/>
    <mergeCell ref="A95:D95"/>
    <mergeCell ref="A75:D75"/>
    <mergeCell ref="A86:D86"/>
    <mergeCell ref="A87:D87"/>
    <mergeCell ref="A97:D97"/>
    <mergeCell ref="A67:D67"/>
    <mergeCell ref="A27:D27"/>
    <mergeCell ref="A28:D28"/>
    <mergeCell ref="A39:D39"/>
    <mergeCell ref="A43:D43"/>
    <mergeCell ref="A44:D44"/>
    <mergeCell ref="A50:D50"/>
    <mergeCell ref="A51:D51"/>
    <mergeCell ref="A59:D59"/>
    <mergeCell ref="A62:D62"/>
    <mergeCell ref="A63:D63"/>
    <mergeCell ref="A66:D66"/>
    <mergeCell ref="A5:U5"/>
    <mergeCell ref="E6:E7"/>
    <mergeCell ref="A22:D22"/>
    <mergeCell ref="A6:A7"/>
    <mergeCell ref="B6:B7"/>
    <mergeCell ref="C6:C7"/>
    <mergeCell ref="D6:D7"/>
    <mergeCell ref="F6:G6"/>
    <mergeCell ref="H6:H7"/>
    <mergeCell ref="I6:I7"/>
    <mergeCell ref="J6:K6"/>
    <mergeCell ref="L6:T6"/>
  </mergeCells>
  <hyperlinks>
    <hyperlink ref="P1" location="'Table of Contents'!A1" display="Back to Table Of Contents" xr:uid="{7D25A5DD-DFCE-4B7D-964F-95EB3C479E19}"/>
  </hyperlinks>
  <printOptions horizontalCentered="1" verticalCentered="1"/>
  <pageMargins left="0.5" right="0.5" top="0.5" bottom="0.5" header="0.5" footer="0.25"/>
  <pageSetup scale="85" orientation="landscape" r:id="rId1"/>
  <headerFooter alignWithMargins="0">
    <oddHeader>&amp;ROctober 2022</oddHeader>
    <oddFooter>&amp;CPage &amp;P of &amp;N&amp;R&amp;8&amp;F</oddFooter>
  </headerFooter>
  <rowBreaks count="2" manualBreakCount="2">
    <brk id="33" max="19" man="1"/>
    <brk id="68" max="1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44F3-4169-4D94-9017-FE5F3431C5CB}">
  <sheetPr codeName="Sheet5">
    <tabColor theme="6"/>
  </sheetPr>
  <dimension ref="A1:T101"/>
  <sheetViews>
    <sheetView topLeftCell="A58" zoomScaleNormal="100" zoomScaleSheetLayoutView="80" zoomScalePageLayoutView="90" workbookViewId="0">
      <selection activeCell="I1" sqref="I1"/>
    </sheetView>
  </sheetViews>
  <sheetFormatPr defaultColWidth="9.140625" defaultRowHeight="12.75" x14ac:dyDescent="0.2"/>
  <cols>
    <col min="1" max="1" width="6.28515625" style="29" customWidth="1"/>
    <col min="2" max="2" width="10.140625" style="29" customWidth="1"/>
    <col min="3" max="3" width="5" style="29" customWidth="1"/>
    <col min="4" max="4" width="22.28515625" style="29" customWidth="1"/>
    <col min="5" max="6" width="5.7109375" style="29" customWidth="1"/>
    <col min="7" max="7" width="6.140625" style="29" customWidth="1"/>
    <col min="8" max="9" width="10.140625" style="29" customWidth="1"/>
    <col min="10" max="11" width="5.7109375" style="29" customWidth="1"/>
    <col min="12" max="12" width="10.42578125" style="29" customWidth="1"/>
    <col min="13" max="13" width="6.7109375" style="29" customWidth="1"/>
    <col min="14" max="15" width="9.7109375" style="29" customWidth="1"/>
    <col min="16" max="16" width="7.85546875" style="29" customWidth="1"/>
    <col min="17" max="17" width="7.42578125" style="29" customWidth="1"/>
    <col min="18" max="18" width="9.7109375" style="29" customWidth="1"/>
    <col min="19" max="19" width="6.7109375" style="29" customWidth="1"/>
    <col min="20" max="20" width="9" style="29" customWidth="1"/>
    <col min="21" max="16384" width="9.140625" style="29"/>
  </cols>
  <sheetData>
    <row r="1" spans="1:20" ht="18.75" x14ac:dyDescent="0.3">
      <c r="C1" s="445"/>
      <c r="I1" s="446"/>
      <c r="J1" s="446"/>
      <c r="K1" s="446"/>
      <c r="L1" s="446"/>
      <c r="M1" s="446"/>
      <c r="N1" s="446"/>
      <c r="O1" s="446"/>
      <c r="P1" s="132" t="s">
        <v>98</v>
      </c>
    </row>
    <row r="2" spans="1:20" ht="15.75" x14ac:dyDescent="0.25">
      <c r="C2" s="447"/>
      <c r="I2" s="446"/>
      <c r="J2" s="446"/>
      <c r="K2" s="446"/>
      <c r="L2" s="446"/>
      <c r="M2" s="446"/>
      <c r="N2" s="446"/>
      <c r="O2" s="446"/>
    </row>
    <row r="3" spans="1:20" ht="24.75" customHeight="1" x14ac:dyDescent="0.2">
      <c r="C3" s="448"/>
      <c r="I3" s="446"/>
      <c r="J3" s="446"/>
      <c r="K3" s="446"/>
      <c r="L3" s="446"/>
      <c r="M3" s="446"/>
      <c r="N3" s="446"/>
      <c r="O3" s="446"/>
    </row>
    <row r="4" spans="1:20" ht="31.5" customHeight="1" x14ac:dyDescent="0.2">
      <c r="C4" s="448"/>
      <c r="I4" s="446"/>
      <c r="J4" s="446"/>
      <c r="K4" s="446"/>
      <c r="L4" s="446"/>
      <c r="M4" s="446"/>
      <c r="N4" s="446"/>
      <c r="O4" s="446"/>
    </row>
    <row r="5" spans="1:20" ht="30" customHeight="1" x14ac:dyDescent="0.2">
      <c r="A5" s="636" t="s">
        <v>296</v>
      </c>
      <c r="B5" s="636"/>
      <c r="C5" s="636"/>
      <c r="D5" s="636"/>
      <c r="E5" s="636"/>
      <c r="F5" s="636"/>
      <c r="G5" s="636"/>
      <c r="H5" s="636"/>
      <c r="I5" s="636"/>
      <c r="J5" s="636"/>
      <c r="K5" s="636"/>
      <c r="L5" s="636"/>
      <c r="M5" s="636"/>
      <c r="N5" s="636"/>
      <c r="O5" s="636"/>
      <c r="P5" s="636"/>
      <c r="Q5" s="636"/>
      <c r="R5" s="636"/>
      <c r="S5" s="636"/>
    </row>
    <row r="6" spans="1:20" s="16" customFormat="1" ht="15.6" customHeight="1" x14ac:dyDescent="0.2">
      <c r="A6" s="640" t="s">
        <v>65</v>
      </c>
      <c r="B6" s="643" t="s">
        <v>652</v>
      </c>
      <c r="C6" s="645" t="s">
        <v>118</v>
      </c>
      <c r="D6" s="637" t="s">
        <v>66</v>
      </c>
      <c r="E6" s="640" t="s">
        <v>22</v>
      </c>
      <c r="F6" s="641" t="s">
        <v>71</v>
      </c>
      <c r="G6" s="642"/>
      <c r="H6" s="637" t="s">
        <v>69</v>
      </c>
      <c r="I6" s="637" t="s">
        <v>169</v>
      </c>
      <c r="J6" s="638" t="s">
        <v>86</v>
      </c>
      <c r="K6" s="639"/>
      <c r="L6" s="647" t="s">
        <v>171</v>
      </c>
      <c r="M6" s="648"/>
      <c r="N6" s="648"/>
      <c r="O6" s="648"/>
      <c r="P6" s="648"/>
      <c r="Q6" s="648"/>
      <c r="R6" s="648"/>
      <c r="S6" s="648"/>
      <c r="T6" s="649"/>
    </row>
    <row r="7" spans="1:20" s="16" customFormat="1" ht="76.900000000000006" customHeight="1" x14ac:dyDescent="0.2">
      <c r="A7" s="640"/>
      <c r="B7" s="644"/>
      <c r="C7" s="646"/>
      <c r="D7" s="637"/>
      <c r="E7" s="640"/>
      <c r="F7" s="467" t="s">
        <v>81</v>
      </c>
      <c r="G7" s="467" t="s">
        <v>82</v>
      </c>
      <c r="H7" s="637"/>
      <c r="I7" s="637"/>
      <c r="J7" s="350" t="s">
        <v>168</v>
      </c>
      <c r="K7" s="350" t="s">
        <v>167</v>
      </c>
      <c r="L7" s="471" t="s">
        <v>136</v>
      </c>
      <c r="M7" s="471" t="s">
        <v>110</v>
      </c>
      <c r="N7" s="471" t="s">
        <v>155</v>
      </c>
      <c r="O7" s="471" t="s">
        <v>165</v>
      </c>
      <c r="P7" s="471" t="s">
        <v>164</v>
      </c>
      <c r="Q7" s="471" t="s">
        <v>156</v>
      </c>
      <c r="R7" s="471" t="s">
        <v>184</v>
      </c>
      <c r="S7" s="471" t="s">
        <v>170</v>
      </c>
      <c r="T7" s="472" t="s">
        <v>651</v>
      </c>
    </row>
    <row r="8" spans="1:20" x14ac:dyDescent="0.2">
      <c r="A8" s="218" t="s">
        <v>1435</v>
      </c>
      <c r="B8" s="218" t="s">
        <v>218</v>
      </c>
      <c r="C8" s="449" t="s">
        <v>68</v>
      </c>
      <c r="D8" s="450" t="s">
        <v>328</v>
      </c>
      <c r="E8" s="451">
        <f>F8+G8</f>
        <v>11</v>
      </c>
      <c r="F8" s="451">
        <f>'3-Majors'!F8</f>
        <v>9</v>
      </c>
      <c r="G8" s="451">
        <f>'3-Majors'!G8</f>
        <v>2</v>
      </c>
      <c r="H8" s="452">
        <f t="shared" ref="H8:H21" si="0">E8/$E$99</f>
        <v>3.7137069547602971E-3</v>
      </c>
      <c r="I8" s="452">
        <f t="shared" ref="I8:I21" si="1">E8/$E$97</f>
        <v>4.121393780442113E-3</v>
      </c>
      <c r="J8" s="451">
        <f>'3-Majors'!J8</f>
        <v>8</v>
      </c>
      <c r="K8" s="451">
        <f>'3-Majors'!K8</f>
        <v>3</v>
      </c>
      <c r="L8" s="451">
        <v>5</v>
      </c>
      <c r="M8" s="451">
        <v>3</v>
      </c>
      <c r="N8" s="451">
        <v>2</v>
      </c>
      <c r="O8" s="451">
        <v>1</v>
      </c>
      <c r="P8" s="451">
        <v>0</v>
      </c>
      <c r="Q8" s="451">
        <v>0</v>
      </c>
      <c r="R8" s="451">
        <v>0</v>
      </c>
      <c r="S8" s="468">
        <v>0</v>
      </c>
      <c r="T8" s="469">
        <v>0</v>
      </c>
    </row>
    <row r="9" spans="1:20" x14ac:dyDescent="0.2">
      <c r="A9" s="218" t="s">
        <v>1435</v>
      </c>
      <c r="B9" s="218" t="s">
        <v>218</v>
      </c>
      <c r="C9" s="449" t="s">
        <v>68</v>
      </c>
      <c r="D9" s="450" t="s">
        <v>372</v>
      </c>
      <c r="E9" s="451">
        <f t="shared" ref="E9:E20" si="2">F9+G9</f>
        <v>18</v>
      </c>
      <c r="F9" s="451">
        <f>'3-Majors'!F9</f>
        <v>16</v>
      </c>
      <c r="G9" s="451">
        <f>'3-Majors'!G9</f>
        <v>2</v>
      </c>
      <c r="H9" s="452">
        <f t="shared" si="0"/>
        <v>6.0769750168804858E-3</v>
      </c>
      <c r="I9" s="452">
        <f t="shared" si="1"/>
        <v>6.7440989134507304E-3</v>
      </c>
      <c r="J9" s="451">
        <f>'3-Majors'!J9</f>
        <v>10</v>
      </c>
      <c r="K9" s="451">
        <f>'3-Majors'!K9</f>
        <v>8</v>
      </c>
      <c r="L9" s="451">
        <v>18</v>
      </c>
      <c r="M9" s="451">
        <v>0</v>
      </c>
      <c r="N9" s="451">
        <v>0</v>
      </c>
      <c r="O9" s="451">
        <v>0</v>
      </c>
      <c r="P9" s="451">
        <v>0</v>
      </c>
      <c r="Q9" s="451">
        <v>0</v>
      </c>
      <c r="R9" s="451">
        <v>0</v>
      </c>
      <c r="S9" s="468">
        <v>0</v>
      </c>
      <c r="T9" s="469">
        <v>0</v>
      </c>
    </row>
    <row r="10" spans="1:20" x14ac:dyDescent="0.2">
      <c r="A10" s="218" t="s">
        <v>1435</v>
      </c>
      <c r="B10" s="218" t="s">
        <v>218</v>
      </c>
      <c r="C10" s="449" t="s">
        <v>68</v>
      </c>
      <c r="D10" s="450" t="s">
        <v>360</v>
      </c>
      <c r="E10" s="451">
        <f t="shared" si="2"/>
        <v>51</v>
      </c>
      <c r="F10" s="451">
        <f>'3-Majors'!F10</f>
        <v>30</v>
      </c>
      <c r="G10" s="451">
        <f>'3-Majors'!G10</f>
        <v>21</v>
      </c>
      <c r="H10" s="452">
        <f t="shared" si="0"/>
        <v>1.7218095881161376E-2</v>
      </c>
      <c r="I10" s="452">
        <f t="shared" si="1"/>
        <v>1.9108280254777069E-2</v>
      </c>
      <c r="J10" s="451">
        <f>'3-Majors'!J10</f>
        <v>45</v>
      </c>
      <c r="K10" s="451">
        <f>'3-Majors'!K10</f>
        <v>6</v>
      </c>
      <c r="L10" s="451">
        <v>19</v>
      </c>
      <c r="M10" s="451">
        <v>26</v>
      </c>
      <c r="N10" s="451">
        <v>0</v>
      </c>
      <c r="O10" s="451">
        <v>1</v>
      </c>
      <c r="P10" s="451">
        <v>2</v>
      </c>
      <c r="Q10" s="451">
        <v>1</v>
      </c>
      <c r="R10" s="451">
        <v>0</v>
      </c>
      <c r="S10" s="468">
        <v>2</v>
      </c>
      <c r="T10" s="469">
        <v>0</v>
      </c>
    </row>
    <row r="11" spans="1:20" x14ac:dyDescent="0.2">
      <c r="A11" s="218" t="s">
        <v>1435</v>
      </c>
      <c r="B11" s="218" t="s">
        <v>218</v>
      </c>
      <c r="C11" s="449" t="s">
        <v>68</v>
      </c>
      <c r="D11" s="450" t="s">
        <v>371</v>
      </c>
      <c r="E11" s="451">
        <f t="shared" si="2"/>
        <v>38</v>
      </c>
      <c r="F11" s="451">
        <f>'3-Majors'!F11</f>
        <v>21</v>
      </c>
      <c r="G11" s="451">
        <f>'3-Majors'!G11</f>
        <v>17</v>
      </c>
      <c r="H11" s="452">
        <f t="shared" si="0"/>
        <v>1.2829169480081027E-2</v>
      </c>
      <c r="I11" s="452">
        <f t="shared" si="1"/>
        <v>1.4237542150618209E-2</v>
      </c>
      <c r="J11" s="451">
        <f>'3-Majors'!J11</f>
        <v>26</v>
      </c>
      <c r="K11" s="451">
        <f>'3-Majors'!K11</f>
        <v>12</v>
      </c>
      <c r="L11" s="451">
        <v>13</v>
      </c>
      <c r="M11" s="451">
        <v>21</v>
      </c>
      <c r="N11" s="451">
        <v>1</v>
      </c>
      <c r="O11" s="451">
        <v>0</v>
      </c>
      <c r="P11" s="451">
        <v>0</v>
      </c>
      <c r="Q11" s="451">
        <v>2</v>
      </c>
      <c r="R11" s="451">
        <v>0</v>
      </c>
      <c r="S11" s="468">
        <v>1</v>
      </c>
      <c r="T11" s="469">
        <v>0</v>
      </c>
    </row>
    <row r="12" spans="1:20" x14ac:dyDescent="0.2">
      <c r="A12" s="218" t="s">
        <v>1435</v>
      </c>
      <c r="B12" s="218" t="s">
        <v>218</v>
      </c>
      <c r="C12" s="449" t="s">
        <v>68</v>
      </c>
      <c r="D12" s="450" t="s">
        <v>362</v>
      </c>
      <c r="E12" s="451">
        <f t="shared" si="2"/>
        <v>45</v>
      </c>
      <c r="F12" s="451">
        <f>'3-Majors'!F12</f>
        <v>25</v>
      </c>
      <c r="G12" s="451">
        <f>'3-Majors'!G12</f>
        <v>20</v>
      </c>
      <c r="H12" s="452">
        <f t="shared" si="0"/>
        <v>1.5192437542201216E-2</v>
      </c>
      <c r="I12" s="452">
        <f t="shared" si="1"/>
        <v>1.6860247283626825E-2</v>
      </c>
      <c r="J12" s="451">
        <f>'3-Majors'!J12</f>
        <v>36</v>
      </c>
      <c r="K12" s="451">
        <f>'3-Majors'!K12</f>
        <v>9</v>
      </c>
      <c r="L12" s="451">
        <v>16</v>
      </c>
      <c r="M12" s="451">
        <v>21</v>
      </c>
      <c r="N12" s="451">
        <v>0</v>
      </c>
      <c r="O12" s="451">
        <v>2</v>
      </c>
      <c r="P12" s="451">
        <v>0</v>
      </c>
      <c r="Q12" s="451">
        <v>6</v>
      </c>
      <c r="R12" s="451">
        <v>0</v>
      </c>
      <c r="S12" s="468">
        <v>0</v>
      </c>
      <c r="T12" s="469">
        <v>0</v>
      </c>
    </row>
    <row r="13" spans="1:20" x14ac:dyDescent="0.2">
      <c r="A13" s="218" t="s">
        <v>1435</v>
      </c>
      <c r="B13" s="218" t="s">
        <v>218</v>
      </c>
      <c r="C13" s="449" t="s">
        <v>68</v>
      </c>
      <c r="D13" s="450" t="s">
        <v>363</v>
      </c>
      <c r="E13" s="451">
        <f t="shared" si="2"/>
        <v>10</v>
      </c>
      <c r="F13" s="451">
        <f>'3-Majors'!F13</f>
        <v>3</v>
      </c>
      <c r="G13" s="451">
        <f>'3-Majors'!G13</f>
        <v>7</v>
      </c>
      <c r="H13" s="452">
        <f t="shared" si="0"/>
        <v>3.37609723160027E-3</v>
      </c>
      <c r="I13" s="452">
        <f t="shared" si="1"/>
        <v>3.7467216185837391E-3</v>
      </c>
      <c r="J13" s="451">
        <f>'3-Majors'!J13</f>
        <v>4</v>
      </c>
      <c r="K13" s="451">
        <f>'3-Majors'!K13</f>
        <v>6</v>
      </c>
      <c r="L13" s="451">
        <v>3</v>
      </c>
      <c r="M13" s="451">
        <v>7</v>
      </c>
      <c r="N13" s="451">
        <v>0</v>
      </c>
      <c r="O13" s="451">
        <v>0</v>
      </c>
      <c r="P13" s="451">
        <v>0</v>
      </c>
      <c r="Q13" s="451">
        <v>0</v>
      </c>
      <c r="R13" s="451">
        <v>0</v>
      </c>
      <c r="S13" s="468">
        <v>0</v>
      </c>
      <c r="T13" s="469">
        <v>0</v>
      </c>
    </row>
    <row r="14" spans="1:20" x14ac:dyDescent="0.2">
      <c r="A14" s="218" t="s">
        <v>1435</v>
      </c>
      <c r="B14" s="218" t="s">
        <v>218</v>
      </c>
      <c r="C14" s="449" t="s">
        <v>68</v>
      </c>
      <c r="D14" s="450" t="s">
        <v>364</v>
      </c>
      <c r="E14" s="451">
        <f t="shared" si="2"/>
        <v>8</v>
      </c>
      <c r="F14" s="451">
        <f>'3-Majors'!F14</f>
        <v>2</v>
      </c>
      <c r="G14" s="451">
        <f>'3-Majors'!G14</f>
        <v>6</v>
      </c>
      <c r="H14" s="452">
        <f t="shared" si="0"/>
        <v>2.7008777852802163E-3</v>
      </c>
      <c r="I14" s="452">
        <f t="shared" si="1"/>
        <v>2.9973772948669914E-3</v>
      </c>
      <c r="J14" s="451">
        <f>'3-Majors'!J14</f>
        <v>3</v>
      </c>
      <c r="K14" s="451">
        <f>'3-Majors'!K14</f>
        <v>5</v>
      </c>
      <c r="L14" s="451">
        <v>2</v>
      </c>
      <c r="M14" s="451">
        <v>6</v>
      </c>
      <c r="N14" s="451">
        <v>0</v>
      </c>
      <c r="O14" s="451">
        <v>0</v>
      </c>
      <c r="P14" s="451">
        <v>0</v>
      </c>
      <c r="Q14" s="451">
        <v>0</v>
      </c>
      <c r="R14" s="451">
        <v>0</v>
      </c>
      <c r="S14" s="468">
        <v>0</v>
      </c>
      <c r="T14" s="469">
        <v>0</v>
      </c>
    </row>
    <row r="15" spans="1:20" x14ac:dyDescent="0.2">
      <c r="A15" s="218" t="s">
        <v>1435</v>
      </c>
      <c r="B15" s="218" t="s">
        <v>218</v>
      </c>
      <c r="C15" s="449" t="s">
        <v>68</v>
      </c>
      <c r="D15" s="450" t="s">
        <v>365</v>
      </c>
      <c r="E15" s="451">
        <f t="shared" si="2"/>
        <v>10</v>
      </c>
      <c r="F15" s="451">
        <f>'3-Majors'!F15</f>
        <v>2</v>
      </c>
      <c r="G15" s="451">
        <f>'3-Majors'!G15</f>
        <v>8</v>
      </c>
      <c r="H15" s="452">
        <f t="shared" si="0"/>
        <v>3.37609723160027E-3</v>
      </c>
      <c r="I15" s="452">
        <f t="shared" si="1"/>
        <v>3.7467216185837391E-3</v>
      </c>
      <c r="J15" s="451">
        <f>'3-Majors'!J15</f>
        <v>7</v>
      </c>
      <c r="K15" s="451">
        <f>'3-Majors'!K15</f>
        <v>3</v>
      </c>
      <c r="L15" s="451">
        <v>4</v>
      </c>
      <c r="M15" s="451">
        <v>5</v>
      </c>
      <c r="N15" s="451">
        <v>0</v>
      </c>
      <c r="O15" s="451">
        <v>1</v>
      </c>
      <c r="P15" s="451">
        <v>0</v>
      </c>
      <c r="Q15" s="451">
        <v>0</v>
      </c>
      <c r="R15" s="451">
        <v>0</v>
      </c>
      <c r="S15" s="468">
        <v>0</v>
      </c>
      <c r="T15" s="469">
        <v>0</v>
      </c>
    </row>
    <row r="16" spans="1:20" x14ac:dyDescent="0.2">
      <c r="A16" s="218" t="s">
        <v>1435</v>
      </c>
      <c r="B16" s="218" t="s">
        <v>218</v>
      </c>
      <c r="C16" s="449" t="s">
        <v>68</v>
      </c>
      <c r="D16" s="450" t="s">
        <v>366</v>
      </c>
      <c r="E16" s="451">
        <f t="shared" si="2"/>
        <v>1</v>
      </c>
      <c r="F16" s="451">
        <f>'3-Majors'!F16</f>
        <v>0</v>
      </c>
      <c r="G16" s="451">
        <f>'3-Majors'!G16</f>
        <v>1</v>
      </c>
      <c r="H16" s="452">
        <f t="shared" si="0"/>
        <v>3.3760972316002703E-4</v>
      </c>
      <c r="I16" s="452">
        <f t="shared" si="1"/>
        <v>3.7467216185837392E-4</v>
      </c>
      <c r="J16" s="451">
        <f>'3-Majors'!J16</f>
        <v>0</v>
      </c>
      <c r="K16" s="451">
        <f>'3-Majors'!K16</f>
        <v>1</v>
      </c>
      <c r="L16" s="451">
        <v>1</v>
      </c>
      <c r="M16" s="451">
        <v>0</v>
      </c>
      <c r="N16" s="451">
        <v>0</v>
      </c>
      <c r="O16" s="451">
        <v>0</v>
      </c>
      <c r="P16" s="451">
        <v>0</v>
      </c>
      <c r="Q16" s="451">
        <v>0</v>
      </c>
      <c r="R16" s="451">
        <v>0</v>
      </c>
      <c r="S16" s="468">
        <v>0</v>
      </c>
      <c r="T16" s="469">
        <v>0</v>
      </c>
    </row>
    <row r="17" spans="1:20" x14ac:dyDescent="0.2">
      <c r="A17" s="218" t="s">
        <v>1435</v>
      </c>
      <c r="B17" s="218" t="s">
        <v>218</v>
      </c>
      <c r="C17" s="449" t="s">
        <v>68</v>
      </c>
      <c r="D17" s="450" t="s">
        <v>367</v>
      </c>
      <c r="E17" s="451">
        <f t="shared" si="2"/>
        <v>6</v>
      </c>
      <c r="F17" s="451">
        <f>'3-Majors'!F17</f>
        <v>4</v>
      </c>
      <c r="G17" s="451">
        <f>'3-Majors'!G17</f>
        <v>2</v>
      </c>
      <c r="H17" s="452">
        <f t="shared" si="0"/>
        <v>2.0256583389601621E-3</v>
      </c>
      <c r="I17" s="452">
        <f t="shared" si="1"/>
        <v>2.2480329711502436E-3</v>
      </c>
      <c r="J17" s="451">
        <f>'3-Majors'!J17</f>
        <v>6</v>
      </c>
      <c r="K17" s="451">
        <f>'3-Majors'!K17</f>
        <v>0</v>
      </c>
      <c r="L17" s="451">
        <v>5</v>
      </c>
      <c r="M17" s="451">
        <v>1</v>
      </c>
      <c r="N17" s="451">
        <v>0</v>
      </c>
      <c r="O17" s="451">
        <v>0</v>
      </c>
      <c r="P17" s="451">
        <v>0</v>
      </c>
      <c r="Q17" s="451">
        <v>0</v>
      </c>
      <c r="R17" s="451">
        <v>0</v>
      </c>
      <c r="S17" s="468">
        <v>0</v>
      </c>
      <c r="T17" s="469">
        <v>0</v>
      </c>
    </row>
    <row r="18" spans="1:20" x14ac:dyDescent="0.2">
      <c r="A18" s="218" t="s">
        <v>1435</v>
      </c>
      <c r="B18" s="218" t="s">
        <v>218</v>
      </c>
      <c r="C18" s="449" t="s">
        <v>68</v>
      </c>
      <c r="D18" s="450" t="s">
        <v>368</v>
      </c>
      <c r="E18" s="451">
        <f t="shared" si="2"/>
        <v>22</v>
      </c>
      <c r="F18" s="451">
        <f>'3-Majors'!F18</f>
        <v>13</v>
      </c>
      <c r="G18" s="451">
        <f>'3-Majors'!G18</f>
        <v>9</v>
      </c>
      <c r="H18" s="452">
        <f t="shared" si="0"/>
        <v>7.4274139095205942E-3</v>
      </c>
      <c r="I18" s="452">
        <f t="shared" si="1"/>
        <v>8.2427875608842259E-3</v>
      </c>
      <c r="J18" s="451">
        <f>'3-Majors'!J18</f>
        <v>17</v>
      </c>
      <c r="K18" s="451">
        <f>'3-Majors'!K18</f>
        <v>5</v>
      </c>
      <c r="L18" s="451">
        <v>16</v>
      </c>
      <c r="M18" s="451">
        <v>5</v>
      </c>
      <c r="N18" s="451">
        <v>0</v>
      </c>
      <c r="O18" s="451">
        <v>0</v>
      </c>
      <c r="P18" s="451">
        <v>0</v>
      </c>
      <c r="Q18" s="451">
        <v>1</v>
      </c>
      <c r="R18" s="451">
        <v>0</v>
      </c>
      <c r="S18" s="468">
        <v>0</v>
      </c>
      <c r="T18" s="469">
        <v>0</v>
      </c>
    </row>
    <row r="19" spans="1:20" x14ac:dyDescent="0.2">
      <c r="A19" s="218" t="s">
        <v>1435</v>
      </c>
      <c r="B19" s="218" t="s">
        <v>218</v>
      </c>
      <c r="C19" s="449" t="s">
        <v>68</v>
      </c>
      <c r="D19" s="450" t="s">
        <v>369</v>
      </c>
      <c r="E19" s="451">
        <f t="shared" si="2"/>
        <v>112</v>
      </c>
      <c r="F19" s="451">
        <f>'3-Majors'!F19</f>
        <v>80</v>
      </c>
      <c r="G19" s="451">
        <f>'3-Majors'!G19</f>
        <v>32</v>
      </c>
      <c r="H19" s="452">
        <f t="shared" si="0"/>
        <v>3.7812288993923027E-2</v>
      </c>
      <c r="I19" s="452">
        <f t="shared" si="1"/>
        <v>4.196328212813788E-2</v>
      </c>
      <c r="J19" s="451">
        <f>'3-Majors'!J19</f>
        <v>92</v>
      </c>
      <c r="K19" s="451">
        <f>'3-Majors'!K19</f>
        <v>20</v>
      </c>
      <c r="L19" s="451">
        <v>51</v>
      </c>
      <c r="M19" s="451">
        <v>54</v>
      </c>
      <c r="N19" s="451">
        <v>3</v>
      </c>
      <c r="O19" s="451">
        <v>1</v>
      </c>
      <c r="P19" s="451">
        <v>0</v>
      </c>
      <c r="Q19" s="451">
        <v>3</v>
      </c>
      <c r="R19" s="451">
        <v>0</v>
      </c>
      <c r="S19" s="468">
        <v>0</v>
      </c>
      <c r="T19" s="469">
        <v>0</v>
      </c>
    </row>
    <row r="20" spans="1:20" x14ac:dyDescent="0.2">
      <c r="A20" s="218" t="s">
        <v>1435</v>
      </c>
      <c r="B20" s="218" t="s">
        <v>218</v>
      </c>
      <c r="C20" s="449" t="s">
        <v>68</v>
      </c>
      <c r="D20" s="450" t="s">
        <v>370</v>
      </c>
      <c r="E20" s="451">
        <f t="shared" si="2"/>
        <v>19</v>
      </c>
      <c r="F20" s="451">
        <f>'3-Majors'!F20</f>
        <v>11</v>
      </c>
      <c r="G20" s="451">
        <f>'3-Majors'!G20</f>
        <v>8</v>
      </c>
      <c r="H20" s="452">
        <f t="shared" si="0"/>
        <v>6.4145847400405133E-3</v>
      </c>
      <c r="I20" s="452">
        <f t="shared" si="1"/>
        <v>7.1187710753091047E-3</v>
      </c>
      <c r="J20" s="451">
        <f>'3-Majors'!J20</f>
        <v>14</v>
      </c>
      <c r="K20" s="451">
        <f>'3-Majors'!K20</f>
        <v>5</v>
      </c>
      <c r="L20" s="451">
        <v>7</v>
      </c>
      <c r="M20" s="451">
        <v>9</v>
      </c>
      <c r="N20" s="451">
        <v>0</v>
      </c>
      <c r="O20" s="451">
        <v>0</v>
      </c>
      <c r="P20" s="451">
        <v>0</v>
      </c>
      <c r="Q20" s="451">
        <v>3</v>
      </c>
      <c r="R20" s="451">
        <v>0</v>
      </c>
      <c r="S20" s="468">
        <v>0</v>
      </c>
      <c r="T20" s="469">
        <v>0</v>
      </c>
    </row>
    <row r="21" spans="1:20" hidden="1" x14ac:dyDescent="0.2">
      <c r="A21" s="218"/>
      <c r="B21" s="218" t="s">
        <v>218</v>
      </c>
      <c r="C21" s="449" t="s">
        <v>68</v>
      </c>
      <c r="D21" s="450"/>
      <c r="E21" s="451"/>
      <c r="F21" s="451"/>
      <c r="G21" s="451"/>
      <c r="H21" s="452">
        <f t="shared" si="0"/>
        <v>0</v>
      </c>
      <c r="I21" s="452">
        <f t="shared" si="1"/>
        <v>0</v>
      </c>
      <c r="J21" s="451"/>
      <c r="K21" s="451"/>
      <c r="L21" s="451"/>
      <c r="M21" s="451"/>
      <c r="N21" s="451"/>
      <c r="O21" s="451"/>
      <c r="P21" s="451"/>
      <c r="Q21" s="451"/>
      <c r="R21" s="451"/>
      <c r="S21" s="468"/>
      <c r="T21" s="470"/>
    </row>
    <row r="22" spans="1:20" x14ac:dyDescent="0.2">
      <c r="A22" s="617" t="s">
        <v>219</v>
      </c>
      <c r="B22" s="618"/>
      <c r="C22" s="618"/>
      <c r="D22" s="618"/>
      <c r="E22" s="453">
        <f>SUM(E8:E21)</f>
        <v>351</v>
      </c>
      <c r="F22" s="453">
        <f t="shared" ref="F22:G22" si="3">SUM(F8:F21)</f>
        <v>216</v>
      </c>
      <c r="G22" s="453">
        <f t="shared" si="3"/>
        <v>135</v>
      </c>
      <c r="H22" s="454">
        <f>SUM(H8:H21)</f>
        <v>0.11850101282916947</v>
      </c>
      <c r="I22" s="454">
        <f>SUM(I8:I21)</f>
        <v>0.13150992881228923</v>
      </c>
      <c r="J22" s="453">
        <f t="shared" ref="J22" si="4">SUM(J8:J21)</f>
        <v>268</v>
      </c>
      <c r="K22" s="453">
        <f>SUM(K8:K21)</f>
        <v>83</v>
      </c>
      <c r="L22" s="453">
        <f>SUM(L8:L21)</f>
        <v>160</v>
      </c>
      <c r="M22" s="453">
        <f t="shared" ref="M22" si="5">SUM(M8:M21)</f>
        <v>158</v>
      </c>
      <c r="N22" s="453">
        <f t="shared" ref="N22" si="6">SUM(N8:N21)</f>
        <v>6</v>
      </c>
      <c r="O22" s="453">
        <f t="shared" ref="O22" si="7">SUM(O8:O21)</f>
        <v>6</v>
      </c>
      <c r="P22" s="453">
        <f>SUM(P8:P21)</f>
        <v>2</v>
      </c>
      <c r="Q22" s="453">
        <f>SUM(Q8:Q21)</f>
        <v>16</v>
      </c>
      <c r="R22" s="453">
        <f t="shared" ref="R22" si="8">SUM(R8:R21)</f>
        <v>0</v>
      </c>
      <c r="S22" s="453">
        <f t="shared" ref="S22:T22" si="9">SUM(S8:S21)</f>
        <v>3</v>
      </c>
      <c r="T22" s="453">
        <f t="shared" si="9"/>
        <v>0</v>
      </c>
    </row>
    <row r="23" spans="1:20" x14ac:dyDescent="0.2">
      <c r="A23" s="218" t="s">
        <v>1435</v>
      </c>
      <c r="B23" s="218" t="s">
        <v>218</v>
      </c>
      <c r="C23" s="449" t="s">
        <v>67</v>
      </c>
      <c r="D23" s="450" t="s">
        <v>373</v>
      </c>
      <c r="E23" s="451">
        <f t="shared" ref="E23:E25" si="10">F23+G23</f>
        <v>14</v>
      </c>
      <c r="F23" s="451">
        <f>'3-Majors'!F23</f>
        <v>11</v>
      </c>
      <c r="G23" s="451">
        <f>'3-Majors'!G23</f>
        <v>3</v>
      </c>
      <c r="H23" s="452">
        <f>E23/$E$99</f>
        <v>4.7265361242403783E-3</v>
      </c>
      <c r="I23" s="452">
        <f>E23/$E$98</f>
        <v>4.778156996587031E-2</v>
      </c>
      <c r="J23" s="451">
        <f>'3-Majors'!J23</f>
        <v>8</v>
      </c>
      <c r="K23" s="451">
        <f>'3-Majors'!K23</f>
        <v>6</v>
      </c>
      <c r="L23" s="451">
        <v>10</v>
      </c>
      <c r="M23" s="451">
        <v>3</v>
      </c>
      <c r="N23" s="451">
        <v>0</v>
      </c>
      <c r="O23" s="451">
        <v>1</v>
      </c>
      <c r="P23" s="451">
        <v>0</v>
      </c>
      <c r="Q23" s="451">
        <v>0</v>
      </c>
      <c r="R23" s="451">
        <v>0</v>
      </c>
      <c r="S23" s="451">
        <v>0</v>
      </c>
      <c r="T23" s="451">
        <v>0</v>
      </c>
    </row>
    <row r="24" spans="1:20" x14ac:dyDescent="0.2">
      <c r="A24" s="218" t="s">
        <v>1435</v>
      </c>
      <c r="B24" s="218" t="s">
        <v>218</v>
      </c>
      <c r="C24" s="449" t="s">
        <v>67</v>
      </c>
      <c r="D24" s="450" t="s">
        <v>371</v>
      </c>
      <c r="E24" s="451">
        <f t="shared" si="10"/>
        <v>11</v>
      </c>
      <c r="F24" s="451">
        <f>'3-Majors'!F24</f>
        <v>7</v>
      </c>
      <c r="G24" s="451">
        <f>'3-Majors'!G24</f>
        <v>4</v>
      </c>
      <c r="H24" s="452">
        <f>E24/$E$99</f>
        <v>3.7137069547602971E-3</v>
      </c>
      <c r="I24" s="452">
        <f>E24/$E$98</f>
        <v>3.7542662116040959E-2</v>
      </c>
      <c r="J24" s="451">
        <f>'3-Majors'!J24</f>
        <v>1</v>
      </c>
      <c r="K24" s="451">
        <f>'3-Majors'!K24</f>
        <v>10</v>
      </c>
      <c r="L24" s="451">
        <v>7</v>
      </c>
      <c r="M24" s="451">
        <v>4</v>
      </c>
      <c r="N24" s="451">
        <v>0</v>
      </c>
      <c r="O24" s="451">
        <v>0</v>
      </c>
      <c r="P24" s="451">
        <v>0</v>
      </c>
      <c r="Q24" s="451">
        <v>0</v>
      </c>
      <c r="R24" s="451">
        <v>0</v>
      </c>
      <c r="S24" s="451">
        <v>0</v>
      </c>
      <c r="T24" s="451">
        <v>0</v>
      </c>
    </row>
    <row r="25" spans="1:20" x14ac:dyDescent="0.2">
      <c r="A25" s="218" t="s">
        <v>1435</v>
      </c>
      <c r="B25" s="218" t="s">
        <v>218</v>
      </c>
      <c r="C25" s="449" t="s">
        <v>67</v>
      </c>
      <c r="D25" s="450" t="s">
        <v>374</v>
      </c>
      <c r="E25" s="451">
        <f t="shared" si="10"/>
        <v>17</v>
      </c>
      <c r="F25" s="451">
        <f>'3-Majors'!F25</f>
        <v>11</v>
      </c>
      <c r="G25" s="451">
        <f>'3-Majors'!G25</f>
        <v>6</v>
      </c>
      <c r="H25" s="452">
        <f>E25/$E$99</f>
        <v>5.7393652937204592E-3</v>
      </c>
      <c r="I25" s="452">
        <f>E25/$E$98</f>
        <v>5.8020477815699661E-2</v>
      </c>
      <c r="J25" s="451">
        <f>'3-Majors'!J25</f>
        <v>3</v>
      </c>
      <c r="K25" s="451">
        <f>'3-Majors'!K25</f>
        <v>14</v>
      </c>
      <c r="L25" s="451">
        <v>15</v>
      </c>
      <c r="M25" s="451">
        <v>1</v>
      </c>
      <c r="N25" s="451">
        <v>0</v>
      </c>
      <c r="O25" s="451">
        <v>1</v>
      </c>
      <c r="P25" s="451">
        <v>0</v>
      </c>
      <c r="Q25" s="451">
        <v>0</v>
      </c>
      <c r="R25" s="451">
        <v>0</v>
      </c>
      <c r="S25" s="468">
        <v>0</v>
      </c>
      <c r="T25" s="469">
        <v>0</v>
      </c>
    </row>
    <row r="26" spans="1:20" hidden="1" x14ac:dyDescent="0.2">
      <c r="A26" s="218"/>
      <c r="B26" s="218" t="s">
        <v>218</v>
      </c>
      <c r="C26" s="449" t="s">
        <v>67</v>
      </c>
      <c r="D26" s="450"/>
      <c r="E26" s="451"/>
      <c r="F26" s="451"/>
      <c r="G26" s="451"/>
      <c r="H26" s="452">
        <f>E26/$E$99</f>
        <v>0</v>
      </c>
      <c r="I26" s="452">
        <f>E26/$E$98</f>
        <v>0</v>
      </c>
      <c r="J26" s="451">
        <v>0</v>
      </c>
      <c r="K26" s="451">
        <v>0</v>
      </c>
      <c r="L26" s="451">
        <v>0</v>
      </c>
      <c r="M26" s="451">
        <v>0</v>
      </c>
      <c r="N26" s="451">
        <v>0</v>
      </c>
      <c r="O26" s="451">
        <v>0</v>
      </c>
      <c r="P26" s="451">
        <v>0</v>
      </c>
      <c r="Q26" s="451">
        <v>0</v>
      </c>
      <c r="R26" s="451">
        <v>0</v>
      </c>
      <c r="S26" s="468">
        <v>0</v>
      </c>
      <c r="T26" s="470"/>
    </row>
    <row r="27" spans="1:20" x14ac:dyDescent="0.2">
      <c r="A27" s="630" t="s">
        <v>220</v>
      </c>
      <c r="B27" s="631"/>
      <c r="C27" s="631"/>
      <c r="D27" s="631"/>
      <c r="E27" s="453">
        <f>SUM(E23:E26)</f>
        <v>42</v>
      </c>
      <c r="F27" s="453">
        <f t="shared" ref="F27:G27" si="11">SUM(F23:F26)</f>
        <v>29</v>
      </c>
      <c r="G27" s="453">
        <f t="shared" si="11"/>
        <v>13</v>
      </c>
      <c r="H27" s="454">
        <f>SUM(H23:H26)</f>
        <v>1.4179608372721135E-2</v>
      </c>
      <c r="I27" s="454">
        <f>SUM(I23:I26)</f>
        <v>0.14334470989761094</v>
      </c>
      <c r="J27" s="453">
        <f>SUM(J23:J26)</f>
        <v>12</v>
      </c>
      <c r="K27" s="453">
        <f t="shared" ref="K27:S27" si="12">SUM(K23:K26)</f>
        <v>30</v>
      </c>
      <c r="L27" s="453">
        <f t="shared" si="12"/>
        <v>32</v>
      </c>
      <c r="M27" s="453">
        <f t="shared" si="12"/>
        <v>8</v>
      </c>
      <c r="N27" s="453">
        <f t="shared" si="12"/>
        <v>0</v>
      </c>
      <c r="O27" s="453">
        <f t="shared" si="12"/>
        <v>2</v>
      </c>
      <c r="P27" s="453">
        <f t="shared" si="12"/>
        <v>0</v>
      </c>
      <c r="Q27" s="453">
        <f t="shared" si="12"/>
        <v>0</v>
      </c>
      <c r="R27" s="453">
        <f t="shared" si="12"/>
        <v>0</v>
      </c>
      <c r="S27" s="453">
        <f t="shared" si="12"/>
        <v>0</v>
      </c>
      <c r="T27" s="453">
        <f t="shared" ref="T27" si="13">SUM(T23:T26)</f>
        <v>0</v>
      </c>
    </row>
    <row r="28" spans="1:20" x14ac:dyDescent="0.2">
      <c r="A28" s="628" t="s">
        <v>221</v>
      </c>
      <c r="B28" s="629"/>
      <c r="C28" s="629"/>
      <c r="D28" s="629"/>
      <c r="E28" s="455">
        <f>E22+E27</f>
        <v>393</v>
      </c>
      <c r="F28" s="455">
        <f>F22+F27</f>
        <v>245</v>
      </c>
      <c r="G28" s="455">
        <f>G22+G27</f>
        <v>148</v>
      </c>
      <c r="H28" s="456">
        <f>H22+H27</f>
        <v>0.13268062120189061</v>
      </c>
      <c r="I28" s="457"/>
      <c r="J28" s="455">
        <f t="shared" ref="J28:R28" si="14">J22+J27</f>
        <v>280</v>
      </c>
      <c r="K28" s="455">
        <f t="shared" si="14"/>
        <v>113</v>
      </c>
      <c r="L28" s="455">
        <f t="shared" si="14"/>
        <v>192</v>
      </c>
      <c r="M28" s="455">
        <f t="shared" si="14"/>
        <v>166</v>
      </c>
      <c r="N28" s="455">
        <f t="shared" si="14"/>
        <v>6</v>
      </c>
      <c r="O28" s="455">
        <f t="shared" si="14"/>
        <v>8</v>
      </c>
      <c r="P28" s="455">
        <f t="shared" si="14"/>
        <v>2</v>
      </c>
      <c r="Q28" s="455">
        <f t="shared" si="14"/>
        <v>16</v>
      </c>
      <c r="R28" s="455">
        <f t="shared" si="14"/>
        <v>0</v>
      </c>
      <c r="S28" s="455">
        <f>S22+S27</f>
        <v>3</v>
      </c>
      <c r="T28" s="455">
        <f>T22+T27</f>
        <v>0</v>
      </c>
    </row>
    <row r="29" spans="1:20" ht="3" customHeight="1" x14ac:dyDescent="0.25">
      <c r="A29" s="458"/>
      <c r="B29" s="458"/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458"/>
      <c r="P29" s="458"/>
      <c r="Q29" s="458"/>
      <c r="R29" s="458"/>
      <c r="S29" s="458"/>
      <c r="T29" s="470"/>
    </row>
    <row r="30" spans="1:20" x14ac:dyDescent="0.2">
      <c r="A30" s="218" t="s">
        <v>1435</v>
      </c>
      <c r="B30" s="459" t="s">
        <v>222</v>
      </c>
      <c r="C30" s="460" t="s">
        <v>68</v>
      </c>
      <c r="D30" s="450" t="s">
        <v>384</v>
      </c>
      <c r="E30" s="451">
        <f t="shared" ref="E30:E42" si="15">F30+G30</f>
        <v>51</v>
      </c>
      <c r="F30" s="451">
        <f>'3-Majors'!F30</f>
        <v>25</v>
      </c>
      <c r="G30" s="451">
        <f>'3-Majors'!G30</f>
        <v>26</v>
      </c>
      <c r="H30" s="452">
        <f t="shared" ref="H30:H38" si="16">E30/$E$99</f>
        <v>1.7218095881161376E-2</v>
      </c>
      <c r="I30" s="452">
        <f t="shared" ref="I30:I38" si="17">E30/$E$97</f>
        <v>1.9108280254777069E-2</v>
      </c>
      <c r="J30" s="451">
        <f>'3-Majors'!J30</f>
        <v>33</v>
      </c>
      <c r="K30" s="451">
        <f>'3-Majors'!K30</f>
        <v>18</v>
      </c>
      <c r="L30" s="451">
        <v>33</v>
      </c>
      <c r="M30" s="451">
        <v>16</v>
      </c>
      <c r="N30" s="451">
        <v>0</v>
      </c>
      <c r="O30" s="451">
        <v>1</v>
      </c>
      <c r="P30" s="451">
        <v>0</v>
      </c>
      <c r="Q30" s="451">
        <v>1</v>
      </c>
      <c r="R30" s="451">
        <v>0</v>
      </c>
      <c r="S30" s="451">
        <v>0</v>
      </c>
      <c r="T30" s="451">
        <v>0</v>
      </c>
    </row>
    <row r="31" spans="1:20" x14ac:dyDescent="0.2">
      <c r="A31" s="218" t="s">
        <v>1435</v>
      </c>
      <c r="B31" s="459" t="s">
        <v>222</v>
      </c>
      <c r="C31" s="460" t="s">
        <v>68</v>
      </c>
      <c r="D31" s="450" t="s">
        <v>375</v>
      </c>
      <c r="E31" s="451">
        <f t="shared" si="15"/>
        <v>216</v>
      </c>
      <c r="F31" s="451">
        <f>'3-Majors'!F31</f>
        <v>152</v>
      </c>
      <c r="G31" s="451">
        <f>'3-Majors'!G31</f>
        <v>64</v>
      </c>
      <c r="H31" s="452">
        <f t="shared" si="16"/>
        <v>7.2923700202565833E-2</v>
      </c>
      <c r="I31" s="452">
        <f t="shared" si="17"/>
        <v>8.0929186961408772E-2</v>
      </c>
      <c r="J31" s="451">
        <f>'3-Majors'!J31</f>
        <v>173</v>
      </c>
      <c r="K31" s="451">
        <f>'3-Majors'!K31</f>
        <v>43</v>
      </c>
      <c r="L31" s="451">
        <v>72</v>
      </c>
      <c r="M31" s="451">
        <v>132</v>
      </c>
      <c r="N31" s="451">
        <v>2</v>
      </c>
      <c r="O31" s="451">
        <v>5</v>
      </c>
      <c r="P31" s="451">
        <v>1</v>
      </c>
      <c r="Q31" s="451">
        <v>4</v>
      </c>
      <c r="R31" s="451">
        <v>0</v>
      </c>
      <c r="S31" s="451">
        <v>0</v>
      </c>
      <c r="T31" s="451">
        <v>0</v>
      </c>
    </row>
    <row r="32" spans="1:20" x14ac:dyDescent="0.2">
      <c r="A32" s="218" t="s">
        <v>1435</v>
      </c>
      <c r="B32" s="459" t="s">
        <v>222</v>
      </c>
      <c r="C32" s="460" t="s">
        <v>68</v>
      </c>
      <c r="D32" s="450" t="s">
        <v>376</v>
      </c>
      <c r="E32" s="451">
        <f t="shared" si="15"/>
        <v>42</v>
      </c>
      <c r="F32" s="451">
        <f>'3-Majors'!F32</f>
        <v>25</v>
      </c>
      <c r="G32" s="451">
        <f>'3-Majors'!G32</f>
        <v>17</v>
      </c>
      <c r="H32" s="452">
        <f t="shared" si="16"/>
        <v>1.4179608372721135E-2</v>
      </c>
      <c r="I32" s="452">
        <f t="shared" si="17"/>
        <v>1.5736230798051705E-2</v>
      </c>
      <c r="J32" s="451">
        <f>'3-Majors'!J32</f>
        <v>39</v>
      </c>
      <c r="K32" s="451">
        <f>'3-Majors'!K32</f>
        <v>3</v>
      </c>
      <c r="L32" s="451">
        <v>9</v>
      </c>
      <c r="M32" s="451">
        <v>28</v>
      </c>
      <c r="N32" s="451">
        <v>0</v>
      </c>
      <c r="O32" s="451">
        <v>2</v>
      </c>
      <c r="P32" s="451">
        <v>0</v>
      </c>
      <c r="Q32" s="451">
        <v>2</v>
      </c>
      <c r="R32" s="451">
        <v>0</v>
      </c>
      <c r="S32" s="451">
        <v>0</v>
      </c>
      <c r="T32" s="451">
        <v>1</v>
      </c>
    </row>
    <row r="33" spans="1:20" x14ac:dyDescent="0.2">
      <c r="A33" s="218" t="s">
        <v>1435</v>
      </c>
      <c r="B33" s="459" t="s">
        <v>222</v>
      </c>
      <c r="C33" s="460" t="s">
        <v>68</v>
      </c>
      <c r="D33" s="450" t="s">
        <v>385</v>
      </c>
      <c r="E33" s="451">
        <f t="shared" si="15"/>
        <v>4</v>
      </c>
      <c r="F33" s="451">
        <f>'3-Majors'!F33</f>
        <v>1</v>
      </c>
      <c r="G33" s="451">
        <f>'3-Majors'!G33</f>
        <v>3</v>
      </c>
      <c r="H33" s="452">
        <f t="shared" si="16"/>
        <v>1.3504388926401081E-3</v>
      </c>
      <c r="I33" s="452">
        <f t="shared" si="17"/>
        <v>1.4986886474334957E-3</v>
      </c>
      <c r="J33" s="451">
        <f>'3-Majors'!J33</f>
        <v>3</v>
      </c>
      <c r="K33" s="451">
        <f>'3-Majors'!K33</f>
        <v>1</v>
      </c>
      <c r="L33" s="451">
        <v>3</v>
      </c>
      <c r="M33" s="451">
        <v>1</v>
      </c>
      <c r="N33" s="451">
        <v>0</v>
      </c>
      <c r="O33" s="451">
        <v>0</v>
      </c>
      <c r="P33" s="451">
        <v>0</v>
      </c>
      <c r="Q33" s="451">
        <v>0</v>
      </c>
      <c r="R33" s="451">
        <v>0</v>
      </c>
      <c r="S33" s="451">
        <v>0</v>
      </c>
      <c r="T33" s="451">
        <v>0</v>
      </c>
    </row>
    <row r="34" spans="1:20" x14ac:dyDescent="0.2">
      <c r="A34" s="218" t="s">
        <v>1435</v>
      </c>
      <c r="B34" s="459" t="s">
        <v>222</v>
      </c>
      <c r="C34" s="460" t="s">
        <v>68</v>
      </c>
      <c r="D34" s="450" t="s">
        <v>377</v>
      </c>
      <c r="E34" s="451">
        <f t="shared" si="15"/>
        <v>15</v>
      </c>
      <c r="F34" s="451">
        <f>'3-Majors'!F34</f>
        <v>1</v>
      </c>
      <c r="G34" s="451">
        <f>'3-Majors'!G34</f>
        <v>14</v>
      </c>
      <c r="H34" s="452">
        <f t="shared" si="16"/>
        <v>5.064145847400405E-3</v>
      </c>
      <c r="I34" s="452">
        <f t="shared" si="17"/>
        <v>5.6200824278756084E-3</v>
      </c>
      <c r="J34" s="451">
        <f>'3-Majors'!J34</f>
        <v>6</v>
      </c>
      <c r="K34" s="451">
        <f>'3-Majors'!K34</f>
        <v>9</v>
      </c>
      <c r="L34" s="451">
        <v>4</v>
      </c>
      <c r="M34" s="451">
        <v>9</v>
      </c>
      <c r="N34" s="451">
        <v>0</v>
      </c>
      <c r="O34" s="451">
        <v>0</v>
      </c>
      <c r="P34" s="451">
        <v>0</v>
      </c>
      <c r="Q34" s="451">
        <v>2</v>
      </c>
      <c r="R34" s="451">
        <v>0</v>
      </c>
      <c r="S34" s="451">
        <v>0</v>
      </c>
      <c r="T34" s="469">
        <v>0</v>
      </c>
    </row>
    <row r="35" spans="1:20" x14ac:dyDescent="0.2">
      <c r="A35" s="218" t="s">
        <v>1435</v>
      </c>
      <c r="B35" s="459" t="s">
        <v>222</v>
      </c>
      <c r="C35" s="460" t="s">
        <v>68</v>
      </c>
      <c r="D35" s="450" t="s">
        <v>378</v>
      </c>
      <c r="E35" s="451">
        <f t="shared" si="15"/>
        <v>21</v>
      </c>
      <c r="F35" s="451">
        <f>'3-Majors'!F35</f>
        <v>7</v>
      </c>
      <c r="G35" s="451">
        <f>'3-Majors'!G35</f>
        <v>14</v>
      </c>
      <c r="H35" s="452">
        <f t="shared" si="16"/>
        <v>7.0898041863605675E-3</v>
      </c>
      <c r="I35" s="452">
        <f t="shared" si="17"/>
        <v>7.8681153990258525E-3</v>
      </c>
      <c r="J35" s="451">
        <f>'3-Majors'!J35</f>
        <v>15</v>
      </c>
      <c r="K35" s="451">
        <f>'3-Majors'!K35</f>
        <v>6</v>
      </c>
      <c r="L35" s="451">
        <v>7</v>
      </c>
      <c r="M35" s="451">
        <v>11</v>
      </c>
      <c r="N35" s="451">
        <v>0</v>
      </c>
      <c r="O35" s="451">
        <v>2</v>
      </c>
      <c r="P35" s="451">
        <v>0</v>
      </c>
      <c r="Q35" s="451">
        <v>1</v>
      </c>
      <c r="R35" s="451">
        <v>0</v>
      </c>
      <c r="S35" s="451">
        <v>0</v>
      </c>
      <c r="T35" s="451">
        <v>0</v>
      </c>
    </row>
    <row r="36" spans="1:20" x14ac:dyDescent="0.2">
      <c r="A36" s="218" t="s">
        <v>1435</v>
      </c>
      <c r="B36" s="459" t="s">
        <v>222</v>
      </c>
      <c r="C36" s="460" t="s">
        <v>68</v>
      </c>
      <c r="D36" s="450" t="s">
        <v>380</v>
      </c>
      <c r="E36" s="451">
        <f t="shared" si="15"/>
        <v>11</v>
      </c>
      <c r="F36" s="451">
        <f>'3-Majors'!F36</f>
        <v>7</v>
      </c>
      <c r="G36" s="451">
        <f>'3-Majors'!G36</f>
        <v>4</v>
      </c>
      <c r="H36" s="452">
        <f t="shared" si="16"/>
        <v>3.7137069547602971E-3</v>
      </c>
      <c r="I36" s="452">
        <f t="shared" si="17"/>
        <v>4.121393780442113E-3</v>
      </c>
      <c r="J36" s="451">
        <f>'3-Majors'!J36</f>
        <v>10</v>
      </c>
      <c r="K36" s="451">
        <f>'3-Majors'!K36</f>
        <v>1</v>
      </c>
      <c r="L36" s="451">
        <v>6</v>
      </c>
      <c r="M36" s="451">
        <v>4</v>
      </c>
      <c r="N36" s="451">
        <v>0</v>
      </c>
      <c r="O36" s="451">
        <v>1</v>
      </c>
      <c r="P36" s="451">
        <v>0</v>
      </c>
      <c r="Q36" s="451">
        <v>0</v>
      </c>
      <c r="R36" s="451">
        <v>0</v>
      </c>
      <c r="S36" s="451">
        <v>0</v>
      </c>
      <c r="T36" s="451">
        <v>0</v>
      </c>
    </row>
    <row r="37" spans="1:20" x14ac:dyDescent="0.2">
      <c r="A37" s="218" t="s">
        <v>1435</v>
      </c>
      <c r="B37" s="459" t="s">
        <v>222</v>
      </c>
      <c r="C37" s="460" t="s">
        <v>68</v>
      </c>
      <c r="D37" s="450" t="s">
        <v>381</v>
      </c>
      <c r="E37" s="451">
        <f t="shared" si="15"/>
        <v>6</v>
      </c>
      <c r="F37" s="451">
        <f>'3-Majors'!F37</f>
        <v>3</v>
      </c>
      <c r="G37" s="451">
        <f>'3-Majors'!G37</f>
        <v>3</v>
      </c>
      <c r="H37" s="452">
        <f t="shared" si="16"/>
        <v>2.0256583389601621E-3</v>
      </c>
      <c r="I37" s="452">
        <f t="shared" si="17"/>
        <v>2.2480329711502436E-3</v>
      </c>
      <c r="J37" s="451">
        <f>'3-Majors'!J37</f>
        <v>5</v>
      </c>
      <c r="K37" s="451">
        <f>'3-Majors'!K37</f>
        <v>1</v>
      </c>
      <c r="L37" s="451">
        <v>1</v>
      </c>
      <c r="M37" s="451">
        <v>4</v>
      </c>
      <c r="N37" s="451">
        <v>0</v>
      </c>
      <c r="O37" s="451">
        <v>0</v>
      </c>
      <c r="P37" s="451">
        <v>0</v>
      </c>
      <c r="Q37" s="451">
        <v>0</v>
      </c>
      <c r="R37" s="451">
        <v>0</v>
      </c>
      <c r="S37" s="451">
        <v>1</v>
      </c>
      <c r="T37" s="451">
        <v>0</v>
      </c>
    </row>
    <row r="38" spans="1:20" ht="13.15" customHeight="1" x14ac:dyDescent="0.2">
      <c r="A38" s="218" t="s">
        <v>1435</v>
      </c>
      <c r="B38" s="459" t="s">
        <v>222</v>
      </c>
      <c r="C38" s="460" t="s">
        <v>68</v>
      </c>
      <c r="D38" s="450" t="s">
        <v>383</v>
      </c>
      <c r="E38" s="451">
        <f t="shared" si="15"/>
        <v>5</v>
      </c>
      <c r="F38" s="451">
        <f>'3-Majors'!F38</f>
        <v>4</v>
      </c>
      <c r="G38" s="451">
        <f>'3-Majors'!G38</f>
        <v>1</v>
      </c>
      <c r="H38" s="452">
        <f t="shared" si="16"/>
        <v>1.688048615800135E-3</v>
      </c>
      <c r="I38" s="452">
        <f t="shared" si="17"/>
        <v>1.8733608092918695E-3</v>
      </c>
      <c r="J38" s="451">
        <f>'3-Majors'!J38</f>
        <v>5</v>
      </c>
      <c r="K38" s="451">
        <f>'3-Majors'!K38</f>
        <v>0</v>
      </c>
      <c r="L38" s="451">
        <v>3</v>
      </c>
      <c r="M38" s="451">
        <v>2</v>
      </c>
      <c r="N38" s="451">
        <v>0</v>
      </c>
      <c r="O38" s="451">
        <v>0</v>
      </c>
      <c r="P38" s="451">
        <v>0</v>
      </c>
      <c r="Q38" s="451">
        <v>0</v>
      </c>
      <c r="R38" s="451">
        <v>0</v>
      </c>
      <c r="S38" s="451">
        <v>0</v>
      </c>
      <c r="T38" s="469">
        <v>0</v>
      </c>
    </row>
    <row r="39" spans="1:20" x14ac:dyDescent="0.2">
      <c r="A39" s="617" t="s">
        <v>223</v>
      </c>
      <c r="B39" s="618"/>
      <c r="C39" s="618"/>
      <c r="D39" s="618"/>
      <c r="E39" s="453">
        <f t="shared" ref="E39:T39" si="18">SUM(E30:E38)</f>
        <v>371</v>
      </c>
      <c r="F39" s="453">
        <f t="shared" si="18"/>
        <v>225</v>
      </c>
      <c r="G39" s="453">
        <f t="shared" si="18"/>
        <v>146</v>
      </c>
      <c r="H39" s="454">
        <f t="shared" si="18"/>
        <v>0.12525320729237005</v>
      </c>
      <c r="I39" s="454">
        <f t="shared" si="18"/>
        <v>0.13900337204945673</v>
      </c>
      <c r="J39" s="453">
        <f t="shared" si="18"/>
        <v>289</v>
      </c>
      <c r="K39" s="453">
        <f t="shared" si="18"/>
        <v>82</v>
      </c>
      <c r="L39" s="453">
        <f t="shared" si="18"/>
        <v>138</v>
      </c>
      <c r="M39" s="453">
        <f t="shared" si="18"/>
        <v>207</v>
      </c>
      <c r="N39" s="453">
        <f t="shared" si="18"/>
        <v>2</v>
      </c>
      <c r="O39" s="453">
        <f t="shared" si="18"/>
        <v>11</v>
      </c>
      <c r="P39" s="453">
        <f t="shared" si="18"/>
        <v>1</v>
      </c>
      <c r="Q39" s="453">
        <f t="shared" si="18"/>
        <v>10</v>
      </c>
      <c r="R39" s="453">
        <f t="shared" si="18"/>
        <v>0</v>
      </c>
      <c r="S39" s="453">
        <f t="shared" si="18"/>
        <v>1</v>
      </c>
      <c r="T39" s="453">
        <f t="shared" si="18"/>
        <v>1</v>
      </c>
    </row>
    <row r="40" spans="1:20" x14ac:dyDescent="0.2">
      <c r="A40" s="218" t="s">
        <v>1435</v>
      </c>
      <c r="B40" s="459" t="s">
        <v>222</v>
      </c>
      <c r="C40" s="460" t="s">
        <v>67</v>
      </c>
      <c r="D40" s="450" t="s">
        <v>375</v>
      </c>
      <c r="E40" s="451">
        <f t="shared" si="15"/>
        <v>37</v>
      </c>
      <c r="F40" s="451">
        <f>'3-Majors'!F40</f>
        <v>27</v>
      </c>
      <c r="G40" s="451">
        <f>'3-Majors'!G40</f>
        <v>10</v>
      </c>
      <c r="H40" s="452">
        <f>E40/$E$99</f>
        <v>1.2491559756920999E-2</v>
      </c>
      <c r="I40" s="452">
        <f>E40/$E$98</f>
        <v>0.12627986348122866</v>
      </c>
      <c r="J40" s="451">
        <f>'3-Majors'!J40</f>
        <v>10</v>
      </c>
      <c r="K40" s="451">
        <f>'3-Majors'!K40</f>
        <v>27</v>
      </c>
      <c r="L40" s="451">
        <v>12</v>
      </c>
      <c r="M40" s="451">
        <v>4</v>
      </c>
      <c r="N40" s="451">
        <v>3</v>
      </c>
      <c r="O40" s="451">
        <v>18</v>
      </c>
      <c r="P40" s="451">
        <v>0</v>
      </c>
      <c r="Q40" s="451">
        <v>0</v>
      </c>
      <c r="R40" s="451">
        <v>0</v>
      </c>
      <c r="S40" s="468">
        <v>0</v>
      </c>
      <c r="T40" s="469">
        <v>0</v>
      </c>
    </row>
    <row r="41" spans="1:20" x14ac:dyDescent="0.2">
      <c r="A41" s="218" t="s">
        <v>1435</v>
      </c>
      <c r="B41" s="459" t="s">
        <v>222</v>
      </c>
      <c r="C41" s="460" t="s">
        <v>67</v>
      </c>
      <c r="D41" s="450" t="s">
        <v>406</v>
      </c>
      <c r="E41" s="451">
        <f t="shared" si="15"/>
        <v>15</v>
      </c>
      <c r="F41" s="451">
        <f>'3-Majors'!F41</f>
        <v>9</v>
      </c>
      <c r="G41" s="451">
        <f>'3-Majors'!G41</f>
        <v>6</v>
      </c>
      <c r="H41" s="452">
        <f>E41/$E$99</f>
        <v>5.064145847400405E-3</v>
      </c>
      <c r="I41" s="452">
        <f>E41/$E$98</f>
        <v>5.1194539249146756E-2</v>
      </c>
      <c r="J41" s="451">
        <f>'3-Majors'!J41</f>
        <v>3</v>
      </c>
      <c r="K41" s="451">
        <f>'3-Majors'!K41</f>
        <v>12</v>
      </c>
      <c r="L41" s="451">
        <v>7</v>
      </c>
      <c r="M41" s="451">
        <v>4</v>
      </c>
      <c r="N41" s="451">
        <v>1</v>
      </c>
      <c r="O41" s="451">
        <v>1</v>
      </c>
      <c r="P41" s="451">
        <v>0</v>
      </c>
      <c r="Q41" s="451">
        <v>1</v>
      </c>
      <c r="R41" s="451">
        <v>0</v>
      </c>
      <c r="S41" s="468">
        <v>1</v>
      </c>
      <c r="T41" s="469">
        <v>0</v>
      </c>
    </row>
    <row r="42" spans="1:20" ht="24.75" customHeight="1" x14ac:dyDescent="0.2">
      <c r="A42" s="218" t="s">
        <v>1435</v>
      </c>
      <c r="B42" s="459" t="s">
        <v>222</v>
      </c>
      <c r="C42" s="460" t="s">
        <v>67</v>
      </c>
      <c r="D42" s="218" t="s">
        <v>386</v>
      </c>
      <c r="E42" s="451">
        <f t="shared" si="15"/>
        <v>11</v>
      </c>
      <c r="F42" s="451">
        <f>'3-Majors'!F42</f>
        <v>2</v>
      </c>
      <c r="G42" s="451">
        <f>'3-Majors'!G42</f>
        <v>9</v>
      </c>
      <c r="H42" s="452">
        <f>E42/$E$99</f>
        <v>3.7137069547602971E-3</v>
      </c>
      <c r="I42" s="452">
        <f>E42/$E$98</f>
        <v>3.7542662116040959E-2</v>
      </c>
      <c r="J42" s="451">
        <f>'3-Majors'!J42</f>
        <v>2</v>
      </c>
      <c r="K42" s="451">
        <f>'3-Majors'!K42</f>
        <v>9</v>
      </c>
      <c r="L42" s="451">
        <v>7</v>
      </c>
      <c r="M42" s="451">
        <v>3</v>
      </c>
      <c r="N42" s="451">
        <v>0</v>
      </c>
      <c r="O42" s="451">
        <v>1</v>
      </c>
      <c r="P42" s="451">
        <v>0</v>
      </c>
      <c r="Q42" s="451">
        <v>0</v>
      </c>
      <c r="R42" s="451">
        <v>0</v>
      </c>
      <c r="S42" s="451">
        <v>0</v>
      </c>
      <c r="T42" s="469">
        <v>0</v>
      </c>
    </row>
    <row r="43" spans="1:20" x14ac:dyDescent="0.2">
      <c r="A43" s="630" t="s">
        <v>224</v>
      </c>
      <c r="B43" s="631"/>
      <c r="C43" s="631"/>
      <c r="D43" s="631"/>
      <c r="E43" s="453">
        <f>SUM(E40:E42)</f>
        <v>63</v>
      </c>
      <c r="F43" s="453">
        <f t="shared" ref="F43:S43" si="19">SUM(F40:F42)</f>
        <v>38</v>
      </c>
      <c r="G43" s="453">
        <f t="shared" si="19"/>
        <v>25</v>
      </c>
      <c r="H43" s="454">
        <f>SUM(H40:H42)</f>
        <v>2.1269412559081699E-2</v>
      </c>
      <c r="I43" s="454">
        <f>SUM(I40:I42)</f>
        <v>0.21501706484641636</v>
      </c>
      <c r="J43" s="453">
        <f t="shared" si="19"/>
        <v>15</v>
      </c>
      <c r="K43" s="453">
        <f t="shared" si="19"/>
        <v>48</v>
      </c>
      <c r="L43" s="453">
        <f t="shared" si="19"/>
        <v>26</v>
      </c>
      <c r="M43" s="453">
        <f t="shared" si="19"/>
        <v>11</v>
      </c>
      <c r="N43" s="453">
        <f t="shared" si="19"/>
        <v>4</v>
      </c>
      <c r="O43" s="453">
        <f t="shared" si="19"/>
        <v>20</v>
      </c>
      <c r="P43" s="453">
        <f t="shared" si="19"/>
        <v>0</v>
      </c>
      <c r="Q43" s="453">
        <f t="shared" si="19"/>
        <v>1</v>
      </c>
      <c r="R43" s="453">
        <f t="shared" si="19"/>
        <v>0</v>
      </c>
      <c r="S43" s="453">
        <f t="shared" si="19"/>
        <v>1</v>
      </c>
      <c r="T43" s="453">
        <f t="shared" ref="T43" si="20">SUM(T40:T42)</f>
        <v>0</v>
      </c>
    </row>
    <row r="44" spans="1:20" x14ac:dyDescent="0.2">
      <c r="A44" s="628" t="s">
        <v>225</v>
      </c>
      <c r="B44" s="629"/>
      <c r="C44" s="629"/>
      <c r="D44" s="629"/>
      <c r="E44" s="455">
        <f>E39+E43</f>
        <v>434</v>
      </c>
      <c r="F44" s="455">
        <f t="shared" ref="F44:S44" si="21">F39+F43</f>
        <v>263</v>
      </c>
      <c r="G44" s="455">
        <f t="shared" si="21"/>
        <v>171</v>
      </c>
      <c r="H44" s="456">
        <f>H39+H43</f>
        <v>0.14652261985145176</v>
      </c>
      <c r="I44" s="457"/>
      <c r="J44" s="455">
        <f t="shared" si="21"/>
        <v>304</v>
      </c>
      <c r="K44" s="455">
        <f t="shared" si="21"/>
        <v>130</v>
      </c>
      <c r="L44" s="455">
        <f t="shared" si="21"/>
        <v>164</v>
      </c>
      <c r="M44" s="455">
        <f t="shared" si="21"/>
        <v>218</v>
      </c>
      <c r="N44" s="455">
        <f t="shared" si="21"/>
        <v>6</v>
      </c>
      <c r="O44" s="455">
        <f t="shared" si="21"/>
        <v>31</v>
      </c>
      <c r="P44" s="455">
        <f t="shared" si="21"/>
        <v>1</v>
      </c>
      <c r="Q44" s="455">
        <f>Q39+Q43</f>
        <v>11</v>
      </c>
      <c r="R44" s="455">
        <f t="shared" si="21"/>
        <v>0</v>
      </c>
      <c r="S44" s="455">
        <f t="shared" si="21"/>
        <v>2</v>
      </c>
      <c r="T44" s="455">
        <f t="shared" ref="T44" si="22">T39+T43</f>
        <v>1</v>
      </c>
    </row>
    <row r="45" spans="1:20" ht="3" customHeight="1" x14ac:dyDescent="0.25">
      <c r="A45" s="458"/>
      <c r="B45" s="458"/>
      <c r="C45" s="458"/>
      <c r="D45" s="458"/>
      <c r="E45" s="458"/>
      <c r="F45" s="458"/>
      <c r="G45" s="458"/>
      <c r="H45" s="458"/>
      <c r="I45" s="458"/>
      <c r="J45" s="458"/>
      <c r="K45" s="458"/>
      <c r="L45" s="458"/>
      <c r="M45" s="458"/>
      <c r="N45" s="458"/>
      <c r="O45" s="458"/>
      <c r="P45" s="458"/>
      <c r="Q45" s="458"/>
      <c r="R45" s="458"/>
      <c r="S45" s="458"/>
      <c r="T45" s="470"/>
    </row>
    <row r="46" spans="1:20" x14ac:dyDescent="0.2">
      <c r="A46" s="218" t="s">
        <v>1435</v>
      </c>
      <c r="B46" s="459" t="s">
        <v>226</v>
      </c>
      <c r="C46" s="460" t="s">
        <v>68</v>
      </c>
      <c r="D46" s="450" t="s">
        <v>1436</v>
      </c>
      <c r="E46" s="451">
        <f>F46+G46</f>
        <v>5</v>
      </c>
      <c r="F46" s="451">
        <f>'3-Majors'!F46</f>
        <v>3</v>
      </c>
      <c r="G46" s="451">
        <f>'3-Majors'!G46</f>
        <v>2</v>
      </c>
      <c r="H46" s="452">
        <f>E46/$E$99</f>
        <v>1.688048615800135E-3</v>
      </c>
      <c r="I46" s="452">
        <f>E46/$E$97</f>
        <v>1.8733608092918695E-3</v>
      </c>
      <c r="J46" s="451">
        <f>'3-Majors'!J46</f>
        <v>5</v>
      </c>
      <c r="K46" s="451">
        <f>'3-Majors'!K46</f>
        <v>0</v>
      </c>
      <c r="L46" s="451">
        <v>171</v>
      </c>
      <c r="M46" s="451">
        <v>114</v>
      </c>
      <c r="N46" s="451">
        <v>1</v>
      </c>
      <c r="O46" s="451">
        <v>6</v>
      </c>
      <c r="P46" s="451">
        <v>0</v>
      </c>
      <c r="Q46" s="451">
        <v>6</v>
      </c>
      <c r="R46" s="451">
        <v>1</v>
      </c>
      <c r="S46" s="468">
        <v>0</v>
      </c>
      <c r="T46" s="469">
        <v>2</v>
      </c>
    </row>
    <row r="47" spans="1:20" x14ac:dyDescent="0.2">
      <c r="A47" s="218" t="s">
        <v>1435</v>
      </c>
      <c r="B47" s="459" t="s">
        <v>226</v>
      </c>
      <c r="C47" s="460" t="s">
        <v>68</v>
      </c>
      <c r="D47" s="450" t="s">
        <v>194</v>
      </c>
      <c r="E47" s="451">
        <f>F47+G47</f>
        <v>34</v>
      </c>
      <c r="F47" s="451">
        <f>'3-Majors'!F47</f>
        <v>16</v>
      </c>
      <c r="G47" s="451">
        <f>'3-Majors'!G47</f>
        <v>18</v>
      </c>
      <c r="H47" s="452">
        <f>E47/$E$99</f>
        <v>1.1478730587440918E-2</v>
      </c>
      <c r="I47" s="452">
        <f>E47/$E$97</f>
        <v>1.2738853503184714E-2</v>
      </c>
      <c r="J47" s="451">
        <f>'3-Majors'!J47</f>
        <v>8</v>
      </c>
      <c r="K47" s="451">
        <f>'3-Majors'!K47</f>
        <v>26</v>
      </c>
      <c r="L47" s="451">
        <v>11</v>
      </c>
      <c r="M47" s="451">
        <v>18</v>
      </c>
      <c r="N47" s="451">
        <v>1</v>
      </c>
      <c r="O47" s="451">
        <v>4</v>
      </c>
      <c r="P47" s="451">
        <v>0</v>
      </c>
      <c r="Q47" s="451">
        <v>0</v>
      </c>
      <c r="R47" s="451">
        <v>0</v>
      </c>
      <c r="S47" s="468">
        <v>0</v>
      </c>
      <c r="T47" s="469">
        <v>0</v>
      </c>
    </row>
    <row r="48" spans="1:20" x14ac:dyDescent="0.2">
      <c r="A48" s="218" t="s">
        <v>1435</v>
      </c>
      <c r="B48" s="459" t="s">
        <v>226</v>
      </c>
      <c r="C48" s="460" t="s">
        <v>68</v>
      </c>
      <c r="D48" s="450" t="s">
        <v>388</v>
      </c>
      <c r="E48" s="451">
        <f>F48+G48</f>
        <v>301</v>
      </c>
      <c r="F48" s="451">
        <f>'3-Majors'!F48</f>
        <v>130</v>
      </c>
      <c r="G48" s="451">
        <f>'3-Majors'!G48</f>
        <v>171</v>
      </c>
      <c r="H48" s="452">
        <f>E48/$E$99</f>
        <v>0.10162052667116812</v>
      </c>
      <c r="I48" s="452">
        <f>E48/$E$97</f>
        <v>0.11277632071937055</v>
      </c>
      <c r="J48" s="451">
        <f>'3-Majors'!J48</f>
        <v>242</v>
      </c>
      <c r="K48" s="451">
        <f>'3-Majors'!K48</f>
        <v>59</v>
      </c>
      <c r="L48" s="451">
        <v>0</v>
      </c>
      <c r="M48" s="451">
        <v>2</v>
      </c>
      <c r="N48" s="451">
        <v>1</v>
      </c>
      <c r="O48" s="451">
        <v>2</v>
      </c>
      <c r="P48" s="451">
        <v>0</v>
      </c>
      <c r="Q48" s="451">
        <v>0</v>
      </c>
      <c r="R48" s="451">
        <v>0</v>
      </c>
      <c r="S48" s="468">
        <v>0</v>
      </c>
      <c r="T48" s="469">
        <v>0</v>
      </c>
    </row>
    <row r="49" spans="1:20" hidden="1" x14ac:dyDescent="0.2">
      <c r="A49" s="218"/>
      <c r="B49" s="459" t="s">
        <v>226</v>
      </c>
      <c r="C49" s="460" t="s">
        <v>68</v>
      </c>
      <c r="D49" s="450"/>
      <c r="E49" s="451"/>
      <c r="F49" s="451"/>
      <c r="G49" s="451"/>
      <c r="H49" s="452">
        <f>E49/$E$99</f>
        <v>0</v>
      </c>
      <c r="I49" s="452">
        <f>E49/$E$97</f>
        <v>0</v>
      </c>
      <c r="J49" s="451"/>
      <c r="K49" s="451"/>
      <c r="L49" s="451"/>
      <c r="M49" s="451"/>
      <c r="N49" s="451"/>
      <c r="O49" s="451"/>
      <c r="P49" s="451"/>
      <c r="Q49" s="451"/>
      <c r="R49" s="451"/>
      <c r="S49" s="468"/>
      <c r="T49" s="469"/>
    </row>
    <row r="50" spans="1:20" x14ac:dyDescent="0.2">
      <c r="A50" s="630" t="s">
        <v>227</v>
      </c>
      <c r="B50" s="631"/>
      <c r="C50" s="631"/>
      <c r="D50" s="631"/>
      <c r="E50" s="453">
        <f>SUM(E46:E49)</f>
        <v>340</v>
      </c>
      <c r="F50" s="453">
        <f t="shared" ref="F50:G50" si="23">SUM(F46:F49)</f>
        <v>149</v>
      </c>
      <c r="G50" s="453">
        <f t="shared" si="23"/>
        <v>191</v>
      </c>
      <c r="H50" s="454">
        <f>SUM(H46:H49)</f>
        <v>0.11478730587440918</v>
      </c>
      <c r="I50" s="454">
        <f>SUM(I46:I49)</f>
        <v>0.12738853503184713</v>
      </c>
      <c r="J50" s="453">
        <f>SUM(J46:J49)</f>
        <v>255</v>
      </c>
      <c r="K50" s="453">
        <f t="shared" ref="K50:S50" si="24">SUM(K46:K49)</f>
        <v>85</v>
      </c>
      <c r="L50" s="453">
        <f t="shared" si="24"/>
        <v>182</v>
      </c>
      <c r="M50" s="453">
        <f t="shared" si="24"/>
        <v>134</v>
      </c>
      <c r="N50" s="453">
        <f t="shared" si="24"/>
        <v>3</v>
      </c>
      <c r="O50" s="453">
        <f t="shared" si="24"/>
        <v>12</v>
      </c>
      <c r="P50" s="453">
        <f t="shared" si="24"/>
        <v>0</v>
      </c>
      <c r="Q50" s="453">
        <f t="shared" si="24"/>
        <v>6</v>
      </c>
      <c r="R50" s="453">
        <f t="shared" si="24"/>
        <v>1</v>
      </c>
      <c r="S50" s="453">
        <f t="shared" si="24"/>
        <v>0</v>
      </c>
      <c r="T50" s="453">
        <f t="shared" ref="T50" si="25">SUM(T46:T49)</f>
        <v>2</v>
      </c>
    </row>
    <row r="51" spans="1:20" x14ac:dyDescent="0.2">
      <c r="A51" s="628" t="s">
        <v>228</v>
      </c>
      <c r="B51" s="629"/>
      <c r="C51" s="629"/>
      <c r="D51" s="629"/>
      <c r="E51" s="455">
        <f>E50</f>
        <v>340</v>
      </c>
      <c r="F51" s="455">
        <f>F50</f>
        <v>149</v>
      </c>
      <c r="G51" s="455">
        <f>G50</f>
        <v>191</v>
      </c>
      <c r="H51" s="456">
        <f>H50</f>
        <v>0.11478730587440918</v>
      </c>
      <c r="I51" s="457"/>
      <c r="J51" s="455">
        <f>J50</f>
        <v>255</v>
      </c>
      <c r="K51" s="455">
        <f t="shared" ref="K51:S51" si="26">K50</f>
        <v>85</v>
      </c>
      <c r="L51" s="455">
        <f t="shared" si="26"/>
        <v>182</v>
      </c>
      <c r="M51" s="455">
        <f t="shared" si="26"/>
        <v>134</v>
      </c>
      <c r="N51" s="455">
        <f t="shared" si="26"/>
        <v>3</v>
      </c>
      <c r="O51" s="455">
        <f t="shared" si="26"/>
        <v>12</v>
      </c>
      <c r="P51" s="455">
        <f t="shared" si="26"/>
        <v>0</v>
      </c>
      <c r="Q51" s="455">
        <f t="shared" si="26"/>
        <v>6</v>
      </c>
      <c r="R51" s="455">
        <f t="shared" si="26"/>
        <v>1</v>
      </c>
      <c r="S51" s="455">
        <f t="shared" si="26"/>
        <v>0</v>
      </c>
      <c r="T51" s="455">
        <f t="shared" ref="T51" si="27">T50</f>
        <v>2</v>
      </c>
    </row>
    <row r="52" spans="1:20" ht="3" customHeight="1" x14ac:dyDescent="0.25">
      <c r="A52" s="458"/>
      <c r="B52" s="458"/>
      <c r="C52" s="458"/>
      <c r="D52" s="458"/>
      <c r="E52" s="458"/>
      <c r="F52" s="458"/>
      <c r="G52" s="458"/>
      <c r="H52" s="458"/>
      <c r="I52" s="458"/>
      <c r="J52" s="458"/>
      <c r="K52" s="458"/>
      <c r="L52" s="458"/>
      <c r="M52" s="458"/>
      <c r="N52" s="458"/>
      <c r="O52" s="458"/>
      <c r="P52" s="458"/>
      <c r="Q52" s="458"/>
      <c r="R52" s="458"/>
      <c r="S52" s="458"/>
      <c r="T52" s="469"/>
    </row>
    <row r="53" spans="1:20" x14ac:dyDescent="0.2">
      <c r="A53" s="218" t="s">
        <v>1435</v>
      </c>
      <c r="B53" s="218" t="s">
        <v>229</v>
      </c>
      <c r="C53" s="449" t="s">
        <v>68</v>
      </c>
      <c r="D53" s="450" t="s">
        <v>389</v>
      </c>
      <c r="E53" s="451">
        <f t="shared" ref="E53:E56" si="28">F53+G53</f>
        <v>161</v>
      </c>
      <c r="F53" s="451">
        <f>'3-Majors'!F53</f>
        <v>99</v>
      </c>
      <c r="G53" s="451">
        <f>'3-Majors'!G53</f>
        <v>62</v>
      </c>
      <c r="H53" s="452">
        <f t="shared" ref="H53:H58" si="29">E53/$E$99</f>
        <v>5.4355165428764347E-2</v>
      </c>
      <c r="I53" s="452">
        <f t="shared" ref="I53:I58" si="30">E53/$E$97</f>
        <v>6.0322218059198199E-2</v>
      </c>
      <c r="J53" s="451">
        <f>'3-Majors'!J53</f>
        <v>126</v>
      </c>
      <c r="K53" s="451">
        <f>'3-Majors'!K53</f>
        <v>35</v>
      </c>
      <c r="L53" s="451">
        <v>36</v>
      </c>
      <c r="M53" s="451">
        <v>116</v>
      </c>
      <c r="N53" s="451">
        <v>0</v>
      </c>
      <c r="O53" s="451">
        <v>3</v>
      </c>
      <c r="P53" s="451">
        <v>1</v>
      </c>
      <c r="Q53" s="451">
        <v>3</v>
      </c>
      <c r="R53" s="451">
        <v>0</v>
      </c>
      <c r="S53" s="468">
        <v>2</v>
      </c>
      <c r="T53" s="469">
        <v>0</v>
      </c>
    </row>
    <row r="54" spans="1:20" x14ac:dyDescent="0.2">
      <c r="A54" s="218" t="s">
        <v>1435</v>
      </c>
      <c r="B54" s="218" t="s">
        <v>229</v>
      </c>
      <c r="C54" s="449" t="s">
        <v>68</v>
      </c>
      <c r="D54" s="450" t="s">
        <v>393</v>
      </c>
      <c r="E54" s="451">
        <f t="shared" si="28"/>
        <v>348</v>
      </c>
      <c r="F54" s="451">
        <f>'3-Majors'!F54</f>
        <v>203</v>
      </c>
      <c r="G54" s="451">
        <f>'3-Majors'!G54</f>
        <v>145</v>
      </c>
      <c r="H54" s="452">
        <f t="shared" si="29"/>
        <v>0.1174881836596894</v>
      </c>
      <c r="I54" s="452">
        <f t="shared" si="30"/>
        <v>0.13038591232671412</v>
      </c>
      <c r="J54" s="451">
        <f>'3-Majors'!J54</f>
        <v>275</v>
      </c>
      <c r="K54" s="451">
        <f>'3-Majors'!K54</f>
        <v>73</v>
      </c>
      <c r="L54" s="451">
        <f>13+166</f>
        <v>179</v>
      </c>
      <c r="M54" s="451">
        <f>13+130</f>
        <v>143</v>
      </c>
      <c r="N54" s="451">
        <v>0</v>
      </c>
      <c r="O54" s="451">
        <f>2+7</f>
        <v>9</v>
      </c>
      <c r="P54" s="451">
        <f>0+2</f>
        <v>2</v>
      </c>
      <c r="Q54" s="451">
        <f>1+11</f>
        <v>12</v>
      </c>
      <c r="R54" s="451">
        <v>0</v>
      </c>
      <c r="S54" s="468">
        <f>1+2</f>
        <v>3</v>
      </c>
      <c r="T54" s="469">
        <v>0</v>
      </c>
    </row>
    <row r="55" spans="1:20" x14ac:dyDescent="0.2">
      <c r="A55" s="218" t="s">
        <v>1435</v>
      </c>
      <c r="B55" s="218" t="s">
        <v>229</v>
      </c>
      <c r="C55" s="449" t="s">
        <v>68</v>
      </c>
      <c r="D55" s="450" t="s">
        <v>390</v>
      </c>
      <c r="E55" s="451">
        <f t="shared" si="28"/>
        <v>145</v>
      </c>
      <c r="F55" s="451">
        <f>'3-Majors'!F55</f>
        <v>65</v>
      </c>
      <c r="G55" s="451">
        <f>'3-Majors'!G55</f>
        <v>80</v>
      </c>
      <c r="H55" s="452">
        <f t="shared" si="29"/>
        <v>4.8953409858203914E-2</v>
      </c>
      <c r="I55" s="452">
        <f t="shared" si="30"/>
        <v>5.4327463469464217E-2</v>
      </c>
      <c r="J55" s="451">
        <f>'3-Majors'!J55</f>
        <v>114</v>
      </c>
      <c r="K55" s="451">
        <f>'3-Majors'!K55</f>
        <v>31</v>
      </c>
      <c r="L55" s="451">
        <v>95</v>
      </c>
      <c r="M55" s="451">
        <v>44</v>
      </c>
      <c r="N55" s="451">
        <v>0</v>
      </c>
      <c r="O55" s="451">
        <v>1</v>
      </c>
      <c r="P55" s="451">
        <v>1</v>
      </c>
      <c r="Q55" s="451">
        <v>3</v>
      </c>
      <c r="R55" s="451">
        <v>0</v>
      </c>
      <c r="S55" s="468">
        <v>0</v>
      </c>
      <c r="T55" s="469">
        <v>1</v>
      </c>
    </row>
    <row r="56" spans="1:20" x14ac:dyDescent="0.2">
      <c r="A56" s="218" t="s">
        <v>1435</v>
      </c>
      <c r="B56" s="218" t="s">
        <v>229</v>
      </c>
      <c r="C56" s="449" t="s">
        <v>68</v>
      </c>
      <c r="D56" s="450" t="s">
        <v>391</v>
      </c>
      <c r="E56" s="451">
        <f t="shared" si="28"/>
        <v>4</v>
      </c>
      <c r="F56" s="451">
        <f>'3-Majors'!F56</f>
        <v>3</v>
      </c>
      <c r="G56" s="451">
        <f>'3-Majors'!G56</f>
        <v>1</v>
      </c>
      <c r="H56" s="452">
        <f t="shared" si="29"/>
        <v>1.3504388926401081E-3</v>
      </c>
      <c r="I56" s="452">
        <f t="shared" si="30"/>
        <v>1.4986886474334957E-3</v>
      </c>
      <c r="J56" s="451">
        <f>'3-Majors'!J56</f>
        <v>4</v>
      </c>
      <c r="K56" s="451">
        <f>'3-Majors'!K56</f>
        <v>0</v>
      </c>
      <c r="L56" s="451">
        <v>2</v>
      </c>
      <c r="M56" s="451">
        <v>0</v>
      </c>
      <c r="N56" s="451">
        <v>0</v>
      </c>
      <c r="O56" s="451">
        <v>0</v>
      </c>
      <c r="P56" s="451">
        <v>0</v>
      </c>
      <c r="Q56" s="451">
        <v>0</v>
      </c>
      <c r="R56" s="451">
        <v>0</v>
      </c>
      <c r="S56" s="451">
        <v>2</v>
      </c>
      <c r="T56" s="451">
        <v>0</v>
      </c>
    </row>
    <row r="57" spans="1:20" x14ac:dyDescent="0.2">
      <c r="A57" s="218" t="s">
        <v>1435</v>
      </c>
      <c r="B57" s="218" t="s">
        <v>229</v>
      </c>
      <c r="C57" s="449" t="s">
        <v>68</v>
      </c>
      <c r="D57" s="450" t="s">
        <v>1437</v>
      </c>
      <c r="E57" s="451">
        <f t="shared" ref="E57" si="31">F57+G57</f>
        <v>6</v>
      </c>
      <c r="F57" s="451">
        <f>'3-Majors'!F57</f>
        <v>3</v>
      </c>
      <c r="G57" s="451">
        <f>'3-Majors'!G57</f>
        <v>3</v>
      </c>
      <c r="H57" s="452">
        <f t="shared" si="29"/>
        <v>2.0256583389601621E-3</v>
      </c>
      <c r="I57" s="452">
        <f t="shared" si="30"/>
        <v>2.2480329711502436E-3</v>
      </c>
      <c r="J57" s="451">
        <f>'3-Majors'!J57</f>
        <v>2</v>
      </c>
      <c r="K57" s="451">
        <f>'3-Majors'!K57</f>
        <v>4</v>
      </c>
      <c r="L57" s="451">
        <v>0</v>
      </c>
      <c r="M57" s="451">
        <v>0</v>
      </c>
      <c r="N57" s="451">
        <v>0</v>
      </c>
      <c r="O57" s="451">
        <v>0</v>
      </c>
      <c r="P57" s="451">
        <v>0</v>
      </c>
      <c r="Q57" s="451">
        <v>0</v>
      </c>
      <c r="R57" s="451">
        <v>0</v>
      </c>
      <c r="S57" s="451">
        <v>6</v>
      </c>
      <c r="T57" s="451">
        <v>0</v>
      </c>
    </row>
    <row r="58" spans="1:20" x14ac:dyDescent="0.2">
      <c r="A58" s="218" t="s">
        <v>1435</v>
      </c>
      <c r="B58" s="218" t="s">
        <v>229</v>
      </c>
      <c r="C58" s="449" t="s">
        <v>68</v>
      </c>
      <c r="D58" s="450" t="s">
        <v>394</v>
      </c>
      <c r="E58" s="451">
        <f>F58+G58</f>
        <v>58</v>
      </c>
      <c r="F58" s="451">
        <f>'3-Majors'!F58</f>
        <v>35</v>
      </c>
      <c r="G58" s="451">
        <f>'3-Majors'!G58</f>
        <v>23</v>
      </c>
      <c r="H58" s="452">
        <f t="shared" si="29"/>
        <v>1.9581363943281565E-2</v>
      </c>
      <c r="I58" s="452">
        <f t="shared" si="30"/>
        <v>2.1730985387785687E-2</v>
      </c>
      <c r="J58" s="451">
        <f>'3-Majors'!J58</f>
        <v>41</v>
      </c>
      <c r="K58" s="451">
        <f>'3-Majors'!K58</f>
        <v>17</v>
      </c>
      <c r="L58" s="451">
        <v>50</v>
      </c>
      <c r="M58" s="451">
        <v>8</v>
      </c>
      <c r="N58" s="451">
        <v>0</v>
      </c>
      <c r="O58" s="451">
        <v>0</v>
      </c>
      <c r="P58" s="451">
        <v>0</v>
      </c>
      <c r="Q58" s="451">
        <v>0</v>
      </c>
      <c r="R58" s="451">
        <v>0</v>
      </c>
      <c r="S58" s="451">
        <v>0</v>
      </c>
      <c r="T58" s="451">
        <v>0</v>
      </c>
    </row>
    <row r="59" spans="1:20" x14ac:dyDescent="0.2">
      <c r="A59" s="617" t="s">
        <v>230</v>
      </c>
      <c r="B59" s="618"/>
      <c r="C59" s="618"/>
      <c r="D59" s="618"/>
      <c r="E59" s="453">
        <f t="shared" ref="E59:T59" si="32">SUM(E53:E58)</f>
        <v>722</v>
      </c>
      <c r="F59" s="453">
        <f t="shared" si="32"/>
        <v>408</v>
      </c>
      <c r="G59" s="453">
        <f t="shared" si="32"/>
        <v>314</v>
      </c>
      <c r="H59" s="454">
        <f t="shared" si="32"/>
        <v>0.24375422012153949</v>
      </c>
      <c r="I59" s="454">
        <f t="shared" si="32"/>
        <v>0.27051330086174596</v>
      </c>
      <c r="J59" s="453">
        <f t="shared" si="32"/>
        <v>562</v>
      </c>
      <c r="K59" s="453">
        <f t="shared" si="32"/>
        <v>160</v>
      </c>
      <c r="L59" s="453">
        <f t="shared" si="32"/>
        <v>362</v>
      </c>
      <c r="M59" s="453">
        <f t="shared" si="32"/>
        <v>311</v>
      </c>
      <c r="N59" s="453">
        <f t="shared" si="32"/>
        <v>0</v>
      </c>
      <c r="O59" s="453">
        <f t="shared" si="32"/>
        <v>13</v>
      </c>
      <c r="P59" s="453">
        <f t="shared" si="32"/>
        <v>4</v>
      </c>
      <c r="Q59" s="453">
        <f t="shared" si="32"/>
        <v>18</v>
      </c>
      <c r="R59" s="453">
        <f t="shared" si="32"/>
        <v>0</v>
      </c>
      <c r="S59" s="453">
        <f t="shared" si="32"/>
        <v>13</v>
      </c>
      <c r="T59" s="453">
        <f t="shared" si="32"/>
        <v>1</v>
      </c>
    </row>
    <row r="60" spans="1:20" x14ac:dyDescent="0.2">
      <c r="A60" s="218" t="s">
        <v>1435</v>
      </c>
      <c r="B60" s="459" t="s">
        <v>229</v>
      </c>
      <c r="C60" s="460" t="s">
        <v>67</v>
      </c>
      <c r="D60" s="450" t="s">
        <v>649</v>
      </c>
      <c r="E60" s="451">
        <f>F60+G60</f>
        <v>9</v>
      </c>
      <c r="F60" s="451">
        <f>'3-Majors'!F60</f>
        <v>6</v>
      </c>
      <c r="G60" s="451">
        <f>'3-Majors'!G60</f>
        <v>3</v>
      </c>
      <c r="H60" s="452">
        <f>E60/$E$99</f>
        <v>3.0384875084402429E-3</v>
      </c>
      <c r="I60" s="452">
        <f>E60/$E$98</f>
        <v>3.0716723549488054E-2</v>
      </c>
      <c r="J60" s="451">
        <f>'3-Majors'!J60</f>
        <v>9</v>
      </c>
      <c r="K60" s="451">
        <f>'3-Majors'!K60</f>
        <v>0</v>
      </c>
      <c r="L60" s="451">
        <v>4</v>
      </c>
      <c r="M60" s="451">
        <v>5</v>
      </c>
      <c r="N60" s="451">
        <v>0</v>
      </c>
      <c r="O60" s="451">
        <v>0</v>
      </c>
      <c r="P60" s="451">
        <v>0</v>
      </c>
      <c r="Q60" s="451">
        <v>0</v>
      </c>
      <c r="R60" s="451">
        <v>0</v>
      </c>
      <c r="S60" s="451">
        <v>0</v>
      </c>
      <c r="T60" s="451">
        <v>0</v>
      </c>
    </row>
    <row r="61" spans="1:20" ht="15" customHeight="1" x14ac:dyDescent="0.2">
      <c r="A61" s="218" t="s">
        <v>1435</v>
      </c>
      <c r="B61" s="459" t="s">
        <v>229</v>
      </c>
      <c r="C61" s="460" t="s">
        <v>67</v>
      </c>
      <c r="D61" s="450" t="s">
        <v>394</v>
      </c>
      <c r="E61" s="451">
        <f>F61+G61</f>
        <v>44</v>
      </c>
      <c r="F61" s="451">
        <f>'3-Majors'!F61</f>
        <v>22</v>
      </c>
      <c r="G61" s="451">
        <f>'3-Majors'!G61</f>
        <v>22</v>
      </c>
      <c r="H61" s="452">
        <f>E61/$E$99</f>
        <v>1.4854827819041188E-2</v>
      </c>
      <c r="I61" s="452">
        <f>E61/$E$98</f>
        <v>0.15017064846416384</v>
      </c>
      <c r="J61" s="451">
        <f>'3-Majors'!J61</f>
        <v>25</v>
      </c>
      <c r="K61" s="451">
        <f>'3-Majors'!K61</f>
        <v>19</v>
      </c>
      <c r="L61" s="451">
        <v>32</v>
      </c>
      <c r="M61" s="451">
        <v>9</v>
      </c>
      <c r="N61" s="451">
        <v>1</v>
      </c>
      <c r="O61" s="451">
        <v>1</v>
      </c>
      <c r="P61" s="451">
        <v>0</v>
      </c>
      <c r="Q61" s="451">
        <v>0</v>
      </c>
      <c r="R61" s="451">
        <v>0</v>
      </c>
      <c r="S61" s="468">
        <v>1</v>
      </c>
      <c r="T61" s="469">
        <v>0</v>
      </c>
    </row>
    <row r="62" spans="1:20" x14ac:dyDescent="0.2">
      <c r="A62" s="630" t="s">
        <v>231</v>
      </c>
      <c r="B62" s="631"/>
      <c r="C62" s="631"/>
      <c r="D62" s="631"/>
      <c r="E62" s="453">
        <f>SUM(E60:E61)</f>
        <v>53</v>
      </c>
      <c r="F62" s="453">
        <f t="shared" ref="F62:S62" si="33">SUM(F60:F61)</f>
        <v>28</v>
      </c>
      <c r="G62" s="453">
        <f t="shared" si="33"/>
        <v>25</v>
      </c>
      <c r="H62" s="454">
        <f>SUM(H60:H61)</f>
        <v>1.7893315327481431E-2</v>
      </c>
      <c r="I62" s="454">
        <f>SUM(I60:I61)</f>
        <v>0.1808873720136519</v>
      </c>
      <c r="J62" s="453">
        <f t="shared" si="33"/>
        <v>34</v>
      </c>
      <c r="K62" s="453">
        <f t="shared" si="33"/>
        <v>19</v>
      </c>
      <c r="L62" s="453">
        <f t="shared" si="33"/>
        <v>36</v>
      </c>
      <c r="M62" s="453">
        <f t="shared" si="33"/>
        <v>14</v>
      </c>
      <c r="N62" s="453">
        <f t="shared" si="33"/>
        <v>1</v>
      </c>
      <c r="O62" s="453">
        <f t="shared" si="33"/>
        <v>1</v>
      </c>
      <c r="P62" s="453">
        <f t="shared" si="33"/>
        <v>0</v>
      </c>
      <c r="Q62" s="453">
        <f t="shared" si="33"/>
        <v>0</v>
      </c>
      <c r="R62" s="453">
        <f t="shared" si="33"/>
        <v>0</v>
      </c>
      <c r="S62" s="453">
        <f t="shared" si="33"/>
        <v>1</v>
      </c>
      <c r="T62" s="453">
        <f t="shared" ref="T62" si="34">SUM(T60:T61)</f>
        <v>0</v>
      </c>
    </row>
    <row r="63" spans="1:20" x14ac:dyDescent="0.2">
      <c r="A63" s="628" t="s">
        <v>232</v>
      </c>
      <c r="B63" s="629"/>
      <c r="C63" s="629"/>
      <c r="D63" s="629"/>
      <c r="E63" s="455">
        <f>E59+E62</f>
        <v>775</v>
      </c>
      <c r="F63" s="455">
        <f t="shared" ref="F63:R63" si="35">F59+F62</f>
        <v>436</v>
      </c>
      <c r="G63" s="455">
        <f t="shared" si="35"/>
        <v>339</v>
      </c>
      <c r="H63" s="456">
        <f>H59+H62</f>
        <v>0.26164753544902092</v>
      </c>
      <c r="I63" s="457"/>
      <c r="J63" s="455">
        <f t="shared" si="35"/>
        <v>596</v>
      </c>
      <c r="K63" s="455">
        <f t="shared" si="35"/>
        <v>179</v>
      </c>
      <c r="L63" s="455">
        <f t="shared" si="35"/>
        <v>398</v>
      </c>
      <c r="M63" s="455">
        <f t="shared" si="35"/>
        <v>325</v>
      </c>
      <c r="N63" s="455">
        <f t="shared" si="35"/>
        <v>1</v>
      </c>
      <c r="O63" s="455">
        <f t="shared" si="35"/>
        <v>14</v>
      </c>
      <c r="P63" s="455">
        <f t="shared" si="35"/>
        <v>4</v>
      </c>
      <c r="Q63" s="455">
        <f t="shared" si="35"/>
        <v>18</v>
      </c>
      <c r="R63" s="455">
        <f t="shared" si="35"/>
        <v>0</v>
      </c>
      <c r="S63" s="455">
        <f>S59+S62</f>
        <v>14</v>
      </c>
      <c r="T63" s="455">
        <f>T59+T62</f>
        <v>1</v>
      </c>
    </row>
    <row r="64" spans="1:20" ht="3" customHeight="1" x14ac:dyDescent="0.25">
      <c r="A64" s="458"/>
      <c r="B64" s="458"/>
      <c r="C64" s="458"/>
      <c r="D64" s="458"/>
      <c r="E64" s="458"/>
      <c r="F64" s="458"/>
      <c r="G64" s="458"/>
      <c r="H64" s="458"/>
      <c r="I64" s="458"/>
      <c r="J64" s="458"/>
      <c r="K64" s="458"/>
      <c r="L64" s="458"/>
      <c r="M64" s="458"/>
      <c r="N64" s="458"/>
      <c r="O64" s="458"/>
      <c r="P64" s="458"/>
      <c r="Q64" s="458"/>
      <c r="R64" s="458"/>
      <c r="S64" s="458"/>
      <c r="T64" s="469"/>
    </row>
    <row r="65" spans="1:20" x14ac:dyDescent="0.2">
      <c r="A65" s="218" t="s">
        <v>1435</v>
      </c>
      <c r="B65" s="459" t="s">
        <v>276</v>
      </c>
      <c r="C65" s="460" t="s">
        <v>68</v>
      </c>
      <c r="D65" s="450" t="s">
        <v>340</v>
      </c>
      <c r="E65" s="451">
        <f>F65+G65</f>
        <v>170</v>
      </c>
      <c r="F65" s="451">
        <f>'3-Majors'!F65</f>
        <v>34</v>
      </c>
      <c r="G65" s="451">
        <f>'3-Majors'!G65</f>
        <v>136</v>
      </c>
      <c r="H65" s="452">
        <f>E65/$E$99</f>
        <v>5.7393652937204588E-2</v>
      </c>
      <c r="I65" s="452">
        <f>E65/$E$97</f>
        <v>6.3694267515923567E-2</v>
      </c>
      <c r="J65" s="451">
        <f>'3-Majors'!J65</f>
        <v>135</v>
      </c>
      <c r="K65" s="451">
        <f>'3-Majors'!K65</f>
        <v>35</v>
      </c>
      <c r="L65" s="451">
        <v>61</v>
      </c>
      <c r="M65" s="451">
        <v>97</v>
      </c>
      <c r="N65" s="451">
        <v>2</v>
      </c>
      <c r="O65" s="451">
        <v>3</v>
      </c>
      <c r="P65" s="451">
        <v>0</v>
      </c>
      <c r="Q65" s="451">
        <v>7</v>
      </c>
      <c r="R65" s="451">
        <v>0</v>
      </c>
      <c r="S65" s="468">
        <v>0</v>
      </c>
      <c r="T65" s="469">
        <v>0</v>
      </c>
    </row>
    <row r="66" spans="1:20" x14ac:dyDescent="0.2">
      <c r="A66" s="630" t="s">
        <v>294</v>
      </c>
      <c r="B66" s="631"/>
      <c r="C66" s="631"/>
      <c r="D66" s="631"/>
      <c r="E66" s="453">
        <f t="shared" ref="E66:T66" si="36">SUM(E65:E65)</f>
        <v>170</v>
      </c>
      <c r="F66" s="453">
        <f t="shared" si="36"/>
        <v>34</v>
      </c>
      <c r="G66" s="453">
        <f t="shared" si="36"/>
        <v>136</v>
      </c>
      <c r="H66" s="454">
        <f t="shared" si="36"/>
        <v>5.7393652937204588E-2</v>
      </c>
      <c r="I66" s="454">
        <f t="shared" si="36"/>
        <v>6.3694267515923567E-2</v>
      </c>
      <c r="J66" s="453">
        <f t="shared" si="36"/>
        <v>135</v>
      </c>
      <c r="K66" s="453">
        <f t="shared" si="36"/>
        <v>35</v>
      </c>
      <c r="L66" s="453">
        <f t="shared" si="36"/>
        <v>61</v>
      </c>
      <c r="M66" s="453">
        <f t="shared" si="36"/>
        <v>97</v>
      </c>
      <c r="N66" s="453">
        <f t="shared" si="36"/>
        <v>2</v>
      </c>
      <c r="O66" s="453">
        <f t="shared" si="36"/>
        <v>3</v>
      </c>
      <c r="P66" s="453">
        <f t="shared" si="36"/>
        <v>0</v>
      </c>
      <c r="Q66" s="453">
        <f t="shared" si="36"/>
        <v>7</v>
      </c>
      <c r="R66" s="453">
        <f t="shared" si="36"/>
        <v>0</v>
      </c>
      <c r="S66" s="453">
        <f t="shared" si="36"/>
        <v>0</v>
      </c>
      <c r="T66" s="453">
        <f t="shared" si="36"/>
        <v>0</v>
      </c>
    </row>
    <row r="67" spans="1:20" x14ac:dyDescent="0.2">
      <c r="A67" s="628" t="s">
        <v>295</v>
      </c>
      <c r="B67" s="629"/>
      <c r="C67" s="629"/>
      <c r="D67" s="629"/>
      <c r="E67" s="455">
        <f>E66</f>
        <v>170</v>
      </c>
      <c r="F67" s="455">
        <f t="shared" ref="F67:S67" si="37">F66</f>
        <v>34</v>
      </c>
      <c r="G67" s="455">
        <f t="shared" si="37"/>
        <v>136</v>
      </c>
      <c r="H67" s="456">
        <f>H66</f>
        <v>5.7393652937204588E-2</v>
      </c>
      <c r="I67" s="457"/>
      <c r="J67" s="455">
        <f t="shared" si="37"/>
        <v>135</v>
      </c>
      <c r="K67" s="455">
        <f t="shared" si="37"/>
        <v>35</v>
      </c>
      <c r="L67" s="455">
        <f t="shared" si="37"/>
        <v>61</v>
      </c>
      <c r="M67" s="455">
        <f t="shared" si="37"/>
        <v>97</v>
      </c>
      <c r="N67" s="455">
        <f t="shared" si="37"/>
        <v>2</v>
      </c>
      <c r="O67" s="455">
        <f t="shared" si="37"/>
        <v>3</v>
      </c>
      <c r="P67" s="455">
        <f t="shared" si="37"/>
        <v>0</v>
      </c>
      <c r="Q67" s="455">
        <f t="shared" si="37"/>
        <v>7</v>
      </c>
      <c r="R67" s="455">
        <f t="shared" si="37"/>
        <v>0</v>
      </c>
      <c r="S67" s="455">
        <f t="shared" si="37"/>
        <v>0</v>
      </c>
      <c r="T67" s="587">
        <f t="shared" ref="T67" si="38">T66</f>
        <v>0</v>
      </c>
    </row>
    <row r="68" spans="1:20" ht="22.5" customHeight="1" x14ac:dyDescent="0.25">
      <c r="A68" s="458"/>
      <c r="B68" s="458"/>
      <c r="C68" s="458"/>
      <c r="D68" s="458"/>
      <c r="E68" s="458"/>
      <c r="F68" s="458"/>
      <c r="G68" s="458"/>
      <c r="H68" s="458"/>
      <c r="I68" s="458"/>
      <c r="J68" s="458"/>
      <c r="K68" s="458"/>
      <c r="L68" s="458"/>
      <c r="M68" s="458"/>
      <c r="N68" s="458"/>
      <c r="O68" s="458"/>
      <c r="P68" s="458"/>
      <c r="Q68" s="458"/>
      <c r="R68" s="458"/>
      <c r="S68" s="458"/>
      <c r="T68" s="487"/>
    </row>
    <row r="69" spans="1:20" x14ac:dyDescent="0.2">
      <c r="A69" s="218" t="s">
        <v>1435</v>
      </c>
      <c r="B69" s="218" t="s">
        <v>233</v>
      </c>
      <c r="C69" s="449" t="s">
        <v>68</v>
      </c>
      <c r="D69" s="450" t="s">
        <v>395</v>
      </c>
      <c r="E69" s="451">
        <f t="shared" ref="E69:E72" si="39">F69+G69</f>
        <v>121</v>
      </c>
      <c r="F69" s="451">
        <f>'3-Majors'!F69</f>
        <v>108</v>
      </c>
      <c r="G69" s="451">
        <f>'3-Majors'!G69</f>
        <v>13</v>
      </c>
      <c r="H69" s="452">
        <f t="shared" ref="H69:H74" si="40">E69/$E$99</f>
        <v>4.0850776502363267E-2</v>
      </c>
      <c r="I69" s="452">
        <f t="shared" ref="I69:I74" si="41">E69/$E$97</f>
        <v>4.5335331584863248E-2</v>
      </c>
      <c r="J69" s="451">
        <f>'3-Majors'!J69</f>
        <v>97</v>
      </c>
      <c r="K69" s="451">
        <f>'3-Majors'!K69</f>
        <v>24</v>
      </c>
      <c r="L69" s="451">
        <v>54</v>
      </c>
      <c r="M69" s="451">
        <v>62</v>
      </c>
      <c r="N69" s="451">
        <v>0</v>
      </c>
      <c r="O69" s="451">
        <v>1</v>
      </c>
      <c r="P69" s="451">
        <v>1</v>
      </c>
      <c r="Q69" s="451">
        <v>3</v>
      </c>
      <c r="R69" s="451">
        <v>0</v>
      </c>
      <c r="S69" s="451">
        <v>0</v>
      </c>
      <c r="T69" s="590">
        <v>0</v>
      </c>
    </row>
    <row r="70" spans="1:20" x14ac:dyDescent="0.2">
      <c r="A70" s="218" t="s">
        <v>1435</v>
      </c>
      <c r="B70" s="218" t="s">
        <v>233</v>
      </c>
      <c r="C70" s="449" t="s">
        <v>68</v>
      </c>
      <c r="D70" s="450" t="s">
        <v>396</v>
      </c>
      <c r="E70" s="451">
        <f t="shared" si="39"/>
        <v>1</v>
      </c>
      <c r="F70" s="451">
        <f>'3-Majors'!F70</f>
        <v>0</v>
      </c>
      <c r="G70" s="451">
        <f>'3-Majors'!G70</f>
        <v>1</v>
      </c>
      <c r="H70" s="452">
        <f t="shared" si="40"/>
        <v>3.3760972316002703E-4</v>
      </c>
      <c r="I70" s="452">
        <f t="shared" si="41"/>
        <v>3.7467216185837392E-4</v>
      </c>
      <c r="J70" s="451">
        <f>'3-Majors'!J70</f>
        <v>0</v>
      </c>
      <c r="K70" s="451">
        <f>'3-Majors'!K70</f>
        <v>1</v>
      </c>
      <c r="L70" s="451">
        <v>0</v>
      </c>
      <c r="M70" s="451">
        <v>1</v>
      </c>
      <c r="N70" s="451">
        <v>0</v>
      </c>
      <c r="O70" s="451">
        <v>0</v>
      </c>
      <c r="P70" s="451">
        <v>0</v>
      </c>
      <c r="Q70" s="451">
        <v>0</v>
      </c>
      <c r="R70" s="451">
        <v>0</v>
      </c>
      <c r="S70" s="451">
        <v>0</v>
      </c>
      <c r="T70" s="451">
        <v>0</v>
      </c>
    </row>
    <row r="71" spans="1:20" x14ac:dyDescent="0.2">
      <c r="A71" s="218" t="s">
        <v>1435</v>
      </c>
      <c r="B71" s="218" t="s">
        <v>233</v>
      </c>
      <c r="C71" s="449" t="s">
        <v>68</v>
      </c>
      <c r="D71" s="450" t="s">
        <v>397</v>
      </c>
      <c r="E71" s="451">
        <f t="shared" si="39"/>
        <v>86</v>
      </c>
      <c r="F71" s="451">
        <f>'3-Majors'!F71</f>
        <v>45</v>
      </c>
      <c r="G71" s="451">
        <f>'3-Majors'!G71</f>
        <v>41</v>
      </c>
      <c r="H71" s="452">
        <f t="shared" si="40"/>
        <v>2.9034436191762322E-2</v>
      </c>
      <c r="I71" s="452">
        <f t="shared" si="41"/>
        <v>3.2221805919820157E-2</v>
      </c>
      <c r="J71" s="451">
        <f>'3-Majors'!J71</f>
        <v>63</v>
      </c>
      <c r="K71" s="451">
        <f>'3-Majors'!K71</f>
        <v>23</v>
      </c>
      <c r="L71" s="451">
        <v>32</v>
      </c>
      <c r="M71" s="451">
        <v>49</v>
      </c>
      <c r="N71" s="451">
        <v>1</v>
      </c>
      <c r="O71" s="451">
        <v>1</v>
      </c>
      <c r="P71" s="451">
        <v>0</v>
      </c>
      <c r="Q71" s="451">
        <v>3</v>
      </c>
      <c r="R71" s="451">
        <v>0</v>
      </c>
      <c r="S71" s="451">
        <v>0</v>
      </c>
      <c r="T71" s="451">
        <v>0</v>
      </c>
    </row>
    <row r="72" spans="1:20" x14ac:dyDescent="0.2">
      <c r="A72" s="218" t="s">
        <v>1435</v>
      </c>
      <c r="B72" s="218" t="s">
        <v>233</v>
      </c>
      <c r="C72" s="449" t="s">
        <v>68</v>
      </c>
      <c r="D72" s="450" t="s">
        <v>398</v>
      </c>
      <c r="E72" s="451">
        <f t="shared" si="39"/>
        <v>10</v>
      </c>
      <c r="F72" s="451">
        <f>'3-Majors'!F72</f>
        <v>9</v>
      </c>
      <c r="G72" s="451">
        <f>'3-Majors'!G72</f>
        <v>1</v>
      </c>
      <c r="H72" s="452">
        <f t="shared" si="40"/>
        <v>3.37609723160027E-3</v>
      </c>
      <c r="I72" s="452">
        <f t="shared" si="41"/>
        <v>3.7467216185837391E-3</v>
      </c>
      <c r="J72" s="451">
        <f>'3-Majors'!J72</f>
        <v>8</v>
      </c>
      <c r="K72" s="451">
        <f>'3-Majors'!K72</f>
        <v>2</v>
      </c>
      <c r="L72" s="451">
        <v>6</v>
      </c>
      <c r="M72" s="451">
        <v>3</v>
      </c>
      <c r="N72" s="451">
        <v>0</v>
      </c>
      <c r="O72" s="451">
        <v>1</v>
      </c>
      <c r="P72" s="451">
        <v>0</v>
      </c>
      <c r="Q72" s="451">
        <v>0</v>
      </c>
      <c r="R72" s="451">
        <v>0</v>
      </c>
      <c r="S72" s="451">
        <v>0</v>
      </c>
      <c r="T72" s="451">
        <v>0</v>
      </c>
    </row>
    <row r="73" spans="1:20" hidden="1" x14ac:dyDescent="0.2">
      <c r="A73" s="218"/>
      <c r="B73" s="218" t="s">
        <v>233</v>
      </c>
      <c r="C73" s="449" t="s">
        <v>68</v>
      </c>
      <c r="D73" s="450"/>
      <c r="E73" s="451"/>
      <c r="F73" s="451"/>
      <c r="G73" s="451"/>
      <c r="H73" s="452">
        <f t="shared" si="40"/>
        <v>0</v>
      </c>
      <c r="I73" s="452">
        <f t="shared" si="41"/>
        <v>0</v>
      </c>
      <c r="J73" s="451"/>
      <c r="K73" s="451"/>
      <c r="L73" s="451"/>
      <c r="M73" s="451"/>
      <c r="N73" s="451"/>
      <c r="O73" s="451"/>
      <c r="P73" s="451"/>
      <c r="Q73" s="451"/>
      <c r="R73" s="451"/>
      <c r="S73" s="468"/>
      <c r="T73" s="469"/>
    </row>
    <row r="74" spans="1:20" hidden="1" x14ac:dyDescent="0.2">
      <c r="A74" s="218"/>
      <c r="B74" s="218" t="s">
        <v>233</v>
      </c>
      <c r="C74" s="449" t="s">
        <v>68</v>
      </c>
      <c r="D74" s="450"/>
      <c r="E74" s="451"/>
      <c r="F74" s="451"/>
      <c r="G74" s="451"/>
      <c r="H74" s="452">
        <f t="shared" si="40"/>
        <v>0</v>
      </c>
      <c r="I74" s="452">
        <f t="shared" si="41"/>
        <v>0</v>
      </c>
      <c r="J74" s="451"/>
      <c r="K74" s="451"/>
      <c r="L74" s="451"/>
      <c r="M74" s="451"/>
      <c r="N74" s="451"/>
      <c r="O74" s="451"/>
      <c r="P74" s="451"/>
      <c r="Q74" s="451"/>
      <c r="R74" s="451"/>
      <c r="S74" s="468"/>
      <c r="T74" s="469"/>
    </row>
    <row r="75" spans="1:20" x14ac:dyDescent="0.2">
      <c r="A75" s="617" t="s">
        <v>234</v>
      </c>
      <c r="B75" s="618"/>
      <c r="C75" s="618"/>
      <c r="D75" s="618"/>
      <c r="E75" s="453">
        <f t="shared" ref="E75:T75" si="42">SUM(E69:E74)</f>
        <v>218</v>
      </c>
      <c r="F75" s="453">
        <f t="shared" si="42"/>
        <v>162</v>
      </c>
      <c r="G75" s="453">
        <f t="shared" si="42"/>
        <v>56</v>
      </c>
      <c r="H75" s="454">
        <f t="shared" si="42"/>
        <v>7.3598919648885888E-2</v>
      </c>
      <c r="I75" s="454">
        <f t="shared" si="42"/>
        <v>8.1678531285125519E-2</v>
      </c>
      <c r="J75" s="453">
        <f t="shared" si="42"/>
        <v>168</v>
      </c>
      <c r="K75" s="453">
        <f t="shared" si="42"/>
        <v>50</v>
      </c>
      <c r="L75" s="453">
        <f t="shared" si="42"/>
        <v>92</v>
      </c>
      <c r="M75" s="453">
        <f t="shared" si="42"/>
        <v>115</v>
      </c>
      <c r="N75" s="453">
        <f t="shared" si="42"/>
        <v>1</v>
      </c>
      <c r="O75" s="453">
        <f t="shared" si="42"/>
        <v>3</v>
      </c>
      <c r="P75" s="453">
        <f t="shared" si="42"/>
        <v>1</v>
      </c>
      <c r="Q75" s="453">
        <f t="shared" si="42"/>
        <v>6</v>
      </c>
      <c r="R75" s="453">
        <f t="shared" si="42"/>
        <v>0</v>
      </c>
      <c r="S75" s="453">
        <f t="shared" si="42"/>
        <v>0</v>
      </c>
      <c r="T75" s="453">
        <f t="shared" si="42"/>
        <v>0</v>
      </c>
    </row>
    <row r="76" spans="1:20" x14ac:dyDescent="0.2">
      <c r="A76" s="218" t="s">
        <v>1435</v>
      </c>
      <c r="B76" s="459" t="s">
        <v>233</v>
      </c>
      <c r="C76" s="460" t="s">
        <v>67</v>
      </c>
      <c r="D76" s="450" t="s">
        <v>399</v>
      </c>
      <c r="E76" s="451">
        <f>F76+G76</f>
        <v>17</v>
      </c>
      <c r="F76" s="451">
        <f>'3-Majors'!F76</f>
        <v>10</v>
      </c>
      <c r="G76" s="451">
        <f>'3-Majors'!G76</f>
        <v>7</v>
      </c>
      <c r="H76" s="452">
        <f t="shared" ref="H76:H85" si="43">E76/$E$99</f>
        <v>5.7393652937204592E-3</v>
      </c>
      <c r="I76" s="452">
        <f t="shared" ref="I76:I85" si="44">E76/$E$98</f>
        <v>5.8020477815699661E-2</v>
      </c>
      <c r="J76" s="451">
        <f>'3-Majors'!J76</f>
        <v>2</v>
      </c>
      <c r="K76" s="451">
        <f>'3-Majors'!K76</f>
        <v>15</v>
      </c>
      <c r="L76" s="451">
        <v>10</v>
      </c>
      <c r="M76" s="451">
        <v>6</v>
      </c>
      <c r="N76" s="451">
        <v>0</v>
      </c>
      <c r="O76" s="451">
        <v>1</v>
      </c>
      <c r="P76" s="451">
        <v>0</v>
      </c>
      <c r="Q76" s="451">
        <v>0</v>
      </c>
      <c r="R76" s="451">
        <v>0</v>
      </c>
      <c r="S76" s="451">
        <v>0</v>
      </c>
      <c r="T76" s="451">
        <v>0</v>
      </c>
    </row>
    <row r="77" spans="1:20" x14ac:dyDescent="0.2">
      <c r="A77" s="218" t="s">
        <v>1435</v>
      </c>
      <c r="B77" s="459" t="s">
        <v>233</v>
      </c>
      <c r="C77" s="460" t="s">
        <v>67</v>
      </c>
      <c r="D77" s="450" t="s">
        <v>400</v>
      </c>
      <c r="E77" s="451">
        <f t="shared" ref="E77:E82" si="45">F77+G77</f>
        <v>38</v>
      </c>
      <c r="F77" s="451">
        <f>'3-Majors'!F77</f>
        <v>32</v>
      </c>
      <c r="G77" s="451">
        <f>'3-Majors'!G77</f>
        <v>6</v>
      </c>
      <c r="H77" s="452">
        <f t="shared" si="43"/>
        <v>1.2829169480081027E-2</v>
      </c>
      <c r="I77" s="452">
        <f t="shared" si="44"/>
        <v>0.12969283276450511</v>
      </c>
      <c r="J77" s="451">
        <f>'3-Majors'!J77</f>
        <v>17</v>
      </c>
      <c r="K77" s="451">
        <f>'3-Majors'!K77</f>
        <v>21</v>
      </c>
      <c r="L77" s="451">
        <v>19</v>
      </c>
      <c r="M77" s="451">
        <v>15</v>
      </c>
      <c r="N77" s="451">
        <v>0</v>
      </c>
      <c r="O77" s="451">
        <v>2</v>
      </c>
      <c r="P77" s="451">
        <v>2</v>
      </c>
      <c r="Q77" s="451">
        <v>0</v>
      </c>
      <c r="R77" s="451">
        <v>0</v>
      </c>
      <c r="S77" s="451">
        <v>0</v>
      </c>
      <c r="T77" s="451">
        <v>0</v>
      </c>
    </row>
    <row r="78" spans="1:20" x14ac:dyDescent="0.2">
      <c r="A78" s="218" t="s">
        <v>1435</v>
      </c>
      <c r="B78" s="459" t="s">
        <v>233</v>
      </c>
      <c r="C78" s="460" t="s">
        <v>67</v>
      </c>
      <c r="D78" s="450" t="s">
        <v>395</v>
      </c>
      <c r="E78" s="451">
        <f t="shared" si="45"/>
        <v>1</v>
      </c>
      <c r="F78" s="451">
        <f>'3-Majors'!F78</f>
        <v>1</v>
      </c>
      <c r="G78" s="451">
        <f>'3-Majors'!G78</f>
        <v>0</v>
      </c>
      <c r="H78" s="452">
        <f t="shared" si="43"/>
        <v>3.3760972316002703E-4</v>
      </c>
      <c r="I78" s="452">
        <f t="shared" si="44"/>
        <v>3.4129692832764505E-3</v>
      </c>
      <c r="J78" s="451">
        <f>'3-Majors'!J78</f>
        <v>1</v>
      </c>
      <c r="K78" s="451">
        <f>'3-Majors'!K78</f>
        <v>0</v>
      </c>
      <c r="L78" s="451">
        <v>1</v>
      </c>
      <c r="M78" s="451">
        <v>0</v>
      </c>
      <c r="N78" s="451">
        <v>0</v>
      </c>
      <c r="O78" s="451">
        <v>0</v>
      </c>
      <c r="P78" s="451">
        <v>0</v>
      </c>
      <c r="Q78" s="451">
        <v>0</v>
      </c>
      <c r="R78" s="451">
        <v>0</v>
      </c>
      <c r="S78" s="451">
        <v>0</v>
      </c>
      <c r="T78" s="451">
        <v>0</v>
      </c>
    </row>
    <row r="79" spans="1:20" ht="22.5" x14ac:dyDescent="0.2">
      <c r="A79" s="218" t="s">
        <v>646</v>
      </c>
      <c r="B79" s="218" t="s">
        <v>233</v>
      </c>
      <c r="C79" s="460" t="s">
        <v>67</v>
      </c>
      <c r="D79" s="218" t="s">
        <v>647</v>
      </c>
      <c r="E79" s="451">
        <f t="shared" si="45"/>
        <v>9</v>
      </c>
      <c r="F79" s="451">
        <f>'3-Majors'!F79</f>
        <v>8</v>
      </c>
      <c r="G79" s="451">
        <f>'3-Majors'!G79</f>
        <v>1</v>
      </c>
      <c r="H79" s="452">
        <f t="shared" si="43"/>
        <v>3.0384875084402429E-3</v>
      </c>
      <c r="I79" s="452">
        <f t="shared" si="44"/>
        <v>3.0716723549488054E-2</v>
      </c>
      <c r="J79" s="451">
        <f>'3-Majors'!J79</f>
        <v>0</v>
      </c>
      <c r="K79" s="451">
        <f>'3-Majors'!K79</f>
        <v>9</v>
      </c>
      <c r="L79" s="451">
        <v>4</v>
      </c>
      <c r="M79" s="451">
        <v>5</v>
      </c>
      <c r="N79" s="451">
        <v>0</v>
      </c>
      <c r="O79" s="451">
        <v>0</v>
      </c>
      <c r="P79" s="451">
        <v>0</v>
      </c>
      <c r="Q79" s="451">
        <v>0</v>
      </c>
      <c r="R79" s="451">
        <v>0</v>
      </c>
      <c r="S79" s="451">
        <v>0</v>
      </c>
      <c r="T79" s="451">
        <v>0</v>
      </c>
    </row>
    <row r="80" spans="1:20" x14ac:dyDescent="0.2">
      <c r="A80" s="218" t="s">
        <v>1435</v>
      </c>
      <c r="B80" s="459" t="s">
        <v>233</v>
      </c>
      <c r="C80" s="460" t="s">
        <v>67</v>
      </c>
      <c r="D80" s="450" t="s">
        <v>401</v>
      </c>
      <c r="E80" s="451">
        <f t="shared" si="45"/>
        <v>38</v>
      </c>
      <c r="F80" s="451">
        <f>'3-Majors'!F80</f>
        <v>30</v>
      </c>
      <c r="G80" s="451">
        <f>'3-Majors'!G80</f>
        <v>8</v>
      </c>
      <c r="H80" s="452">
        <f t="shared" si="43"/>
        <v>1.2829169480081027E-2</v>
      </c>
      <c r="I80" s="452">
        <f t="shared" si="44"/>
        <v>0.12969283276450511</v>
      </c>
      <c r="J80" s="451">
        <f>'3-Majors'!J80</f>
        <v>0</v>
      </c>
      <c r="K80" s="451">
        <f>'3-Majors'!K80</f>
        <v>38</v>
      </c>
      <c r="L80" s="451">
        <v>19</v>
      </c>
      <c r="M80" s="451">
        <v>17</v>
      </c>
      <c r="N80" s="451">
        <v>0</v>
      </c>
      <c r="O80" s="451">
        <v>1</v>
      </c>
      <c r="P80" s="451">
        <v>0</v>
      </c>
      <c r="Q80" s="451">
        <v>1</v>
      </c>
      <c r="R80" s="451">
        <v>0</v>
      </c>
      <c r="S80" s="451">
        <v>0</v>
      </c>
      <c r="T80" s="451">
        <v>0</v>
      </c>
    </row>
    <row r="81" spans="1:20" x14ac:dyDescent="0.2">
      <c r="A81" s="218" t="s">
        <v>1435</v>
      </c>
      <c r="B81" s="459" t="s">
        <v>233</v>
      </c>
      <c r="C81" s="460" t="s">
        <v>67</v>
      </c>
      <c r="D81" s="461" t="s">
        <v>638</v>
      </c>
      <c r="E81" s="451">
        <f t="shared" si="45"/>
        <v>5</v>
      </c>
      <c r="F81" s="451">
        <f>'3-Majors'!F81</f>
        <v>3</v>
      </c>
      <c r="G81" s="451">
        <f>'3-Majors'!G81</f>
        <v>2</v>
      </c>
      <c r="H81" s="452">
        <f t="shared" si="43"/>
        <v>1.688048615800135E-3</v>
      </c>
      <c r="I81" s="452">
        <f t="shared" si="44"/>
        <v>1.7064846416382253E-2</v>
      </c>
      <c r="J81" s="451">
        <f>'3-Majors'!J81</f>
        <v>0</v>
      </c>
      <c r="K81" s="451">
        <f>'3-Majors'!K81</f>
        <v>5</v>
      </c>
      <c r="L81" s="451">
        <v>2</v>
      </c>
      <c r="M81" s="451">
        <v>3</v>
      </c>
      <c r="N81" s="451">
        <v>0</v>
      </c>
      <c r="O81" s="451">
        <v>0</v>
      </c>
      <c r="P81" s="451">
        <v>0</v>
      </c>
      <c r="Q81" s="451">
        <v>0</v>
      </c>
      <c r="R81" s="451">
        <v>0</v>
      </c>
      <c r="S81" s="451">
        <v>0</v>
      </c>
      <c r="T81" s="451">
        <v>0</v>
      </c>
    </row>
    <row r="82" spans="1:20" x14ac:dyDescent="0.2">
      <c r="A82" s="218" t="s">
        <v>1435</v>
      </c>
      <c r="B82" s="459" t="s">
        <v>233</v>
      </c>
      <c r="C82" s="460" t="s">
        <v>67</v>
      </c>
      <c r="D82" s="461" t="s">
        <v>637</v>
      </c>
      <c r="E82" s="451">
        <f t="shared" si="45"/>
        <v>27</v>
      </c>
      <c r="F82" s="451">
        <f>'3-Majors'!F82</f>
        <v>13</v>
      </c>
      <c r="G82" s="451">
        <f>'3-Majors'!G82</f>
        <v>14</v>
      </c>
      <c r="H82" s="452">
        <f t="shared" si="43"/>
        <v>9.1154625253207291E-3</v>
      </c>
      <c r="I82" s="452">
        <f t="shared" si="44"/>
        <v>9.2150170648464161E-2</v>
      </c>
      <c r="J82" s="451">
        <f>'3-Majors'!J82</f>
        <v>18</v>
      </c>
      <c r="K82" s="451">
        <f>'3-Majors'!K82</f>
        <v>9</v>
      </c>
      <c r="L82" s="451">
        <v>11</v>
      </c>
      <c r="M82" s="451">
        <v>10</v>
      </c>
      <c r="N82" s="451">
        <v>0</v>
      </c>
      <c r="O82" s="451">
        <v>3</v>
      </c>
      <c r="P82" s="451">
        <v>0</v>
      </c>
      <c r="Q82" s="451">
        <v>1</v>
      </c>
      <c r="R82" s="451">
        <v>0</v>
      </c>
      <c r="S82" s="451">
        <v>0</v>
      </c>
      <c r="T82" s="469">
        <v>2</v>
      </c>
    </row>
    <row r="83" spans="1:20" hidden="1" x14ac:dyDescent="0.2">
      <c r="A83" s="218"/>
      <c r="B83" s="459"/>
      <c r="C83" s="460"/>
      <c r="D83" s="450"/>
      <c r="E83" s="451"/>
      <c r="F83" s="451"/>
      <c r="G83" s="451"/>
      <c r="H83" s="452"/>
      <c r="I83" s="452"/>
      <c r="J83" s="451"/>
      <c r="K83" s="451"/>
      <c r="L83" s="451"/>
      <c r="M83" s="451"/>
      <c r="N83" s="451"/>
      <c r="O83" s="451"/>
      <c r="P83" s="451"/>
      <c r="Q83" s="451"/>
      <c r="R83" s="451"/>
      <c r="S83" s="451"/>
      <c r="T83" s="451"/>
    </row>
    <row r="84" spans="1:20" ht="23.45" hidden="1" customHeight="1" x14ac:dyDescent="0.2">
      <c r="A84" s="218"/>
      <c r="B84" s="459"/>
      <c r="C84" s="460"/>
      <c r="D84" s="218"/>
      <c r="E84" s="451"/>
      <c r="F84" s="451"/>
      <c r="G84" s="451"/>
      <c r="H84" s="452"/>
      <c r="I84" s="452"/>
      <c r="J84" s="451"/>
      <c r="K84" s="451"/>
      <c r="L84" s="451"/>
      <c r="M84" s="451"/>
      <c r="N84" s="451"/>
      <c r="O84" s="451"/>
      <c r="P84" s="451"/>
      <c r="Q84" s="451"/>
      <c r="R84" s="451"/>
      <c r="S84" s="451"/>
      <c r="T84" s="451"/>
    </row>
    <row r="85" spans="1:20" hidden="1" x14ac:dyDescent="0.2">
      <c r="A85" s="218"/>
      <c r="B85" s="459" t="s">
        <v>233</v>
      </c>
      <c r="C85" s="460" t="s">
        <v>67</v>
      </c>
      <c r="D85" s="218"/>
      <c r="E85" s="451"/>
      <c r="F85" s="451"/>
      <c r="G85" s="451"/>
      <c r="H85" s="452">
        <f t="shared" si="43"/>
        <v>0</v>
      </c>
      <c r="I85" s="452">
        <f t="shared" si="44"/>
        <v>0</v>
      </c>
      <c r="J85" s="451"/>
      <c r="K85" s="451"/>
      <c r="L85" s="451"/>
      <c r="M85" s="451"/>
      <c r="N85" s="451"/>
      <c r="O85" s="451"/>
      <c r="P85" s="451"/>
      <c r="Q85" s="451"/>
      <c r="R85" s="451"/>
      <c r="S85" s="468"/>
      <c r="T85" s="469"/>
    </row>
    <row r="86" spans="1:20" x14ac:dyDescent="0.2">
      <c r="A86" s="630" t="s">
        <v>235</v>
      </c>
      <c r="B86" s="631"/>
      <c r="C86" s="631"/>
      <c r="D86" s="631"/>
      <c r="E86" s="453">
        <f t="shared" ref="E86:S86" si="46">SUM(E76:E85)</f>
        <v>135</v>
      </c>
      <c r="F86" s="453">
        <f t="shared" si="46"/>
        <v>97</v>
      </c>
      <c r="G86" s="453">
        <f t="shared" si="46"/>
        <v>38</v>
      </c>
      <c r="H86" s="454">
        <f>SUM(H76:H85)</f>
        <v>4.5577312626603653E-2</v>
      </c>
      <c r="I86" s="454">
        <f>SUM(I76:I85)</f>
        <v>0.46075085324232073</v>
      </c>
      <c r="J86" s="453">
        <f t="shared" si="46"/>
        <v>38</v>
      </c>
      <c r="K86" s="453">
        <f t="shared" si="46"/>
        <v>97</v>
      </c>
      <c r="L86" s="453">
        <f t="shared" si="46"/>
        <v>66</v>
      </c>
      <c r="M86" s="453">
        <f t="shared" si="46"/>
        <v>56</v>
      </c>
      <c r="N86" s="453">
        <f t="shared" si="46"/>
        <v>0</v>
      </c>
      <c r="O86" s="453">
        <f t="shared" si="46"/>
        <v>7</v>
      </c>
      <c r="P86" s="453">
        <f t="shared" si="46"/>
        <v>2</v>
      </c>
      <c r="Q86" s="453">
        <f t="shared" si="46"/>
        <v>2</v>
      </c>
      <c r="R86" s="453">
        <f t="shared" si="46"/>
        <v>0</v>
      </c>
      <c r="S86" s="453">
        <f t="shared" si="46"/>
        <v>0</v>
      </c>
      <c r="T86" s="453">
        <f t="shared" ref="T86" si="47">SUM(T76:T85)</f>
        <v>2</v>
      </c>
    </row>
    <row r="87" spans="1:20" x14ac:dyDescent="0.2">
      <c r="A87" s="628" t="s">
        <v>236</v>
      </c>
      <c r="B87" s="629"/>
      <c r="C87" s="629"/>
      <c r="D87" s="629"/>
      <c r="E87" s="455">
        <f>E75+E86</f>
        <v>353</v>
      </c>
      <c r="F87" s="455">
        <f>F75+F86</f>
        <v>259</v>
      </c>
      <c r="G87" s="455">
        <f>G75+G86</f>
        <v>94</v>
      </c>
      <c r="H87" s="456">
        <f>H75+H86</f>
        <v>0.11917623227548954</v>
      </c>
      <c r="I87" s="457"/>
      <c r="J87" s="455">
        <f t="shared" ref="J87:S87" si="48">J75+J86</f>
        <v>206</v>
      </c>
      <c r="K87" s="455">
        <f t="shared" si="48"/>
        <v>147</v>
      </c>
      <c r="L87" s="455">
        <f t="shared" si="48"/>
        <v>158</v>
      </c>
      <c r="M87" s="455">
        <f t="shared" si="48"/>
        <v>171</v>
      </c>
      <c r="N87" s="455">
        <f t="shared" si="48"/>
        <v>1</v>
      </c>
      <c r="O87" s="455">
        <f t="shared" si="48"/>
        <v>10</v>
      </c>
      <c r="P87" s="455">
        <f t="shared" si="48"/>
        <v>3</v>
      </c>
      <c r="Q87" s="455">
        <f>Q75+Q86</f>
        <v>8</v>
      </c>
      <c r="R87" s="455">
        <f t="shared" si="48"/>
        <v>0</v>
      </c>
      <c r="S87" s="455">
        <f t="shared" si="48"/>
        <v>0</v>
      </c>
      <c r="T87" s="455">
        <f t="shared" ref="T87" si="49">T75+T86</f>
        <v>2</v>
      </c>
    </row>
    <row r="88" spans="1:20" ht="3" customHeight="1" x14ac:dyDescent="0.25">
      <c r="A88" s="458"/>
      <c r="B88" s="458"/>
      <c r="C88" s="458"/>
      <c r="D88" s="458"/>
      <c r="E88" s="458"/>
      <c r="F88" s="458"/>
      <c r="G88" s="458"/>
      <c r="H88" s="458"/>
      <c r="I88" s="458"/>
      <c r="J88" s="458"/>
      <c r="K88" s="458"/>
      <c r="L88" s="458"/>
      <c r="M88" s="458"/>
      <c r="N88" s="458"/>
      <c r="O88" s="458"/>
      <c r="P88" s="458"/>
      <c r="Q88" s="458"/>
      <c r="R88" s="458"/>
      <c r="S88" s="458"/>
      <c r="T88" s="469"/>
    </row>
    <row r="89" spans="1:20" x14ac:dyDescent="0.2">
      <c r="A89" s="218" t="s">
        <v>1435</v>
      </c>
      <c r="B89" s="218" t="s">
        <v>324</v>
      </c>
      <c r="C89" s="449" t="s">
        <v>68</v>
      </c>
      <c r="D89" s="450" t="s">
        <v>293</v>
      </c>
      <c r="E89" s="451">
        <f t="shared" ref="E89:E93" si="50">F89+G89</f>
        <v>133</v>
      </c>
      <c r="F89" s="451">
        <f>'3-Majors'!F89</f>
        <v>64</v>
      </c>
      <c r="G89" s="451">
        <f>'3-Majors'!G89</f>
        <v>69</v>
      </c>
      <c r="H89" s="452">
        <f>E89/$E$99</f>
        <v>4.4902093180283591E-2</v>
      </c>
      <c r="I89" s="452">
        <f>E89/$E$97</f>
        <v>4.9831397527163729E-2</v>
      </c>
      <c r="J89" s="451">
        <f>'3-Majors'!J89</f>
        <v>99</v>
      </c>
      <c r="K89" s="451">
        <f>'3-Majors'!K89</f>
        <v>34</v>
      </c>
      <c r="L89" s="451">
        <v>61</v>
      </c>
      <c r="M89" s="451">
        <v>65</v>
      </c>
      <c r="N89" s="451">
        <v>0</v>
      </c>
      <c r="O89" s="451">
        <v>4</v>
      </c>
      <c r="P89" s="451">
        <v>0</v>
      </c>
      <c r="Q89" s="451">
        <v>1</v>
      </c>
      <c r="R89" s="451">
        <v>0</v>
      </c>
      <c r="S89" s="468">
        <v>1</v>
      </c>
      <c r="T89" s="469">
        <v>1</v>
      </c>
    </row>
    <row r="90" spans="1:20" x14ac:dyDescent="0.2">
      <c r="A90" s="218" t="s">
        <v>1435</v>
      </c>
      <c r="B90" s="218" t="s">
        <v>324</v>
      </c>
      <c r="C90" s="449" t="s">
        <v>68</v>
      </c>
      <c r="D90" s="450" t="s">
        <v>403</v>
      </c>
      <c r="E90" s="451">
        <f t="shared" si="50"/>
        <v>55</v>
      </c>
      <c r="F90" s="451">
        <f>'3-Majors'!F90</f>
        <v>44</v>
      </c>
      <c r="G90" s="451">
        <f>'3-Majors'!G90</f>
        <v>11</v>
      </c>
      <c r="H90" s="452">
        <f>E90/$E$99</f>
        <v>1.8568534773801486E-2</v>
      </c>
      <c r="I90" s="452">
        <f>E90/$E$97</f>
        <v>2.0606968902210566E-2</v>
      </c>
      <c r="J90" s="451">
        <f>'3-Majors'!J90</f>
        <v>51</v>
      </c>
      <c r="K90" s="451">
        <f>'3-Majors'!K90</f>
        <v>4</v>
      </c>
      <c r="L90" s="451">
        <v>7</v>
      </c>
      <c r="M90" s="451">
        <v>46</v>
      </c>
      <c r="N90" s="451">
        <v>0</v>
      </c>
      <c r="O90" s="451">
        <v>1</v>
      </c>
      <c r="P90" s="469">
        <v>0</v>
      </c>
      <c r="Q90" s="469">
        <v>1</v>
      </c>
      <c r="R90" s="469">
        <v>0</v>
      </c>
      <c r="S90" s="469">
        <v>0</v>
      </c>
      <c r="T90" s="469">
        <v>0</v>
      </c>
    </row>
    <row r="91" spans="1:20" x14ac:dyDescent="0.2">
      <c r="A91" s="218" t="s">
        <v>1435</v>
      </c>
      <c r="B91" s="218" t="s">
        <v>324</v>
      </c>
      <c r="C91" s="449" t="s">
        <v>68</v>
      </c>
      <c r="D91" s="450" t="s">
        <v>404</v>
      </c>
      <c r="E91" s="451">
        <f t="shared" si="50"/>
        <v>238</v>
      </c>
      <c r="F91" s="451">
        <f>'3-Majors'!F91</f>
        <v>176</v>
      </c>
      <c r="G91" s="451">
        <f>'3-Majors'!G91</f>
        <v>62</v>
      </c>
      <c r="H91" s="452">
        <f>E91/$E$99</f>
        <v>8.0351114112086425E-2</v>
      </c>
      <c r="I91" s="452">
        <f>E91/$E$97</f>
        <v>8.9171974522292988E-2</v>
      </c>
      <c r="J91" s="451">
        <f>'3-Majors'!J91</f>
        <v>152</v>
      </c>
      <c r="K91" s="451">
        <f>'3-Majors'!K91</f>
        <v>86</v>
      </c>
      <c r="L91" s="451">
        <v>49</v>
      </c>
      <c r="M91" s="451">
        <v>174</v>
      </c>
      <c r="N91" s="451">
        <v>2</v>
      </c>
      <c r="O91" s="451">
        <v>3</v>
      </c>
      <c r="P91" s="451">
        <v>1</v>
      </c>
      <c r="Q91" s="451">
        <v>4</v>
      </c>
      <c r="R91" s="469">
        <v>0</v>
      </c>
      <c r="S91" s="468">
        <v>5</v>
      </c>
      <c r="T91" s="469">
        <v>0</v>
      </c>
    </row>
    <row r="92" spans="1:20" x14ac:dyDescent="0.2">
      <c r="A92" s="218" t="s">
        <v>1435</v>
      </c>
      <c r="B92" s="459" t="s">
        <v>324</v>
      </c>
      <c r="C92" s="460" t="s">
        <v>68</v>
      </c>
      <c r="D92" s="450" t="s">
        <v>382</v>
      </c>
      <c r="E92" s="451">
        <f>F92+G92</f>
        <v>21</v>
      </c>
      <c r="F92" s="451">
        <f>'3-Majors'!F92</f>
        <v>19</v>
      </c>
      <c r="G92" s="451">
        <f>'3-Majors'!G92</f>
        <v>2</v>
      </c>
      <c r="H92" s="452">
        <f>E92/$E$99</f>
        <v>7.0898041863605675E-3</v>
      </c>
      <c r="I92" s="452">
        <f>E92/$E$97</f>
        <v>7.8681153990258525E-3</v>
      </c>
      <c r="J92" s="451">
        <f>'3-Majors'!J92</f>
        <v>18</v>
      </c>
      <c r="K92" s="451">
        <f>'3-Majors'!K92</f>
        <v>3</v>
      </c>
      <c r="L92" s="451">
        <v>14</v>
      </c>
      <c r="M92" s="451">
        <v>6</v>
      </c>
      <c r="N92" s="451">
        <v>0</v>
      </c>
      <c r="O92" s="451">
        <v>0</v>
      </c>
      <c r="P92" s="451">
        <v>0</v>
      </c>
      <c r="Q92" s="451">
        <v>1</v>
      </c>
      <c r="R92" s="451">
        <v>0</v>
      </c>
      <c r="S92" s="451">
        <v>0</v>
      </c>
      <c r="T92" s="451">
        <v>0</v>
      </c>
    </row>
    <row r="93" spans="1:20" x14ac:dyDescent="0.2">
      <c r="A93" s="218" t="s">
        <v>1435</v>
      </c>
      <c r="B93" s="218" t="s">
        <v>324</v>
      </c>
      <c r="C93" s="449" t="s">
        <v>68</v>
      </c>
      <c r="D93" s="450" t="s">
        <v>405</v>
      </c>
      <c r="E93" s="451">
        <f t="shared" si="50"/>
        <v>50</v>
      </c>
      <c r="F93" s="451">
        <f>'3-Majors'!F93</f>
        <v>38</v>
      </c>
      <c r="G93" s="451">
        <f>'3-Majors'!G93</f>
        <v>12</v>
      </c>
      <c r="H93" s="452">
        <f>E93/$E$99</f>
        <v>1.6880486158001352E-2</v>
      </c>
      <c r="I93" s="452">
        <f>E93/$E$97</f>
        <v>1.8733608092918696E-2</v>
      </c>
      <c r="J93" s="451">
        <f>'3-Majors'!J93</f>
        <v>40</v>
      </c>
      <c r="K93" s="451">
        <f>'3-Majors'!K93</f>
        <v>10</v>
      </c>
      <c r="L93" s="451">
        <v>34</v>
      </c>
      <c r="M93" s="451">
        <v>14</v>
      </c>
      <c r="N93" s="451">
        <v>0</v>
      </c>
      <c r="O93" s="451">
        <v>0</v>
      </c>
      <c r="P93" s="451">
        <v>0</v>
      </c>
      <c r="Q93" s="451">
        <v>2</v>
      </c>
      <c r="R93" s="451">
        <v>0</v>
      </c>
      <c r="S93" s="451">
        <v>0</v>
      </c>
      <c r="T93" s="451">
        <v>0</v>
      </c>
    </row>
    <row r="94" spans="1:20" x14ac:dyDescent="0.2">
      <c r="A94" s="630" t="s">
        <v>332</v>
      </c>
      <c r="B94" s="631"/>
      <c r="C94" s="631"/>
      <c r="D94" s="631"/>
      <c r="E94" s="453">
        <f t="shared" ref="E94:T94" si="51">SUM(E89:E93)</f>
        <v>497</v>
      </c>
      <c r="F94" s="453">
        <f t="shared" si="51"/>
        <v>341</v>
      </c>
      <c r="G94" s="453">
        <f t="shared" si="51"/>
        <v>156</v>
      </c>
      <c r="H94" s="454">
        <f t="shared" si="51"/>
        <v>0.16779203241053342</v>
      </c>
      <c r="I94" s="454">
        <f t="shared" si="51"/>
        <v>0.1862120644436118</v>
      </c>
      <c r="J94" s="453">
        <f t="shared" si="51"/>
        <v>360</v>
      </c>
      <c r="K94" s="453">
        <f t="shared" si="51"/>
        <v>137</v>
      </c>
      <c r="L94" s="453">
        <f t="shared" si="51"/>
        <v>165</v>
      </c>
      <c r="M94" s="453">
        <f t="shared" si="51"/>
        <v>305</v>
      </c>
      <c r="N94" s="453">
        <f t="shared" si="51"/>
        <v>2</v>
      </c>
      <c r="O94" s="453">
        <f t="shared" si="51"/>
        <v>8</v>
      </c>
      <c r="P94" s="453">
        <f t="shared" si="51"/>
        <v>1</v>
      </c>
      <c r="Q94" s="453">
        <f t="shared" si="51"/>
        <v>9</v>
      </c>
      <c r="R94" s="453">
        <f t="shared" si="51"/>
        <v>0</v>
      </c>
      <c r="S94" s="453">
        <f t="shared" si="51"/>
        <v>6</v>
      </c>
      <c r="T94" s="453">
        <f t="shared" si="51"/>
        <v>1</v>
      </c>
    </row>
    <row r="95" spans="1:20" x14ac:dyDescent="0.2">
      <c r="A95" s="628" t="s">
        <v>331</v>
      </c>
      <c r="B95" s="629"/>
      <c r="C95" s="629"/>
      <c r="D95" s="629"/>
      <c r="E95" s="455">
        <f>E94</f>
        <v>497</v>
      </c>
      <c r="F95" s="455">
        <f t="shared" ref="F95:S95" si="52">F94</f>
        <v>341</v>
      </c>
      <c r="G95" s="455">
        <f t="shared" si="52"/>
        <v>156</v>
      </c>
      <c r="H95" s="456">
        <f>H94</f>
        <v>0.16779203241053342</v>
      </c>
      <c r="I95" s="457"/>
      <c r="J95" s="455">
        <f t="shared" si="52"/>
        <v>360</v>
      </c>
      <c r="K95" s="455">
        <f t="shared" si="52"/>
        <v>137</v>
      </c>
      <c r="L95" s="455">
        <f t="shared" si="52"/>
        <v>165</v>
      </c>
      <c r="M95" s="455">
        <f t="shared" si="52"/>
        <v>305</v>
      </c>
      <c r="N95" s="455">
        <f t="shared" si="52"/>
        <v>2</v>
      </c>
      <c r="O95" s="455">
        <f t="shared" si="52"/>
        <v>8</v>
      </c>
      <c r="P95" s="455">
        <f t="shared" si="52"/>
        <v>1</v>
      </c>
      <c r="Q95" s="455">
        <f>Q94</f>
        <v>9</v>
      </c>
      <c r="R95" s="455">
        <f t="shared" si="52"/>
        <v>0</v>
      </c>
      <c r="S95" s="455">
        <f t="shared" si="52"/>
        <v>6</v>
      </c>
      <c r="T95" s="455">
        <f t="shared" ref="T95" si="53">T94</f>
        <v>1</v>
      </c>
    </row>
    <row r="96" spans="1:20" ht="3" customHeight="1" x14ac:dyDescent="0.25">
      <c r="A96" s="458"/>
      <c r="B96" s="458"/>
      <c r="C96" s="458"/>
      <c r="D96" s="458"/>
      <c r="E96" s="458"/>
      <c r="F96" s="458"/>
      <c r="G96" s="458"/>
      <c r="H96" s="458"/>
      <c r="I96" s="458"/>
      <c r="J96" s="458"/>
      <c r="K96" s="458"/>
      <c r="L96" s="458"/>
      <c r="M96" s="458"/>
      <c r="N96" s="458"/>
      <c r="O96" s="458"/>
      <c r="P96" s="458"/>
      <c r="Q96" s="458"/>
      <c r="R96" s="458"/>
      <c r="S96" s="458"/>
      <c r="T96" s="458"/>
    </row>
    <row r="97" spans="1:20" x14ac:dyDescent="0.2">
      <c r="A97" s="632" t="s">
        <v>237</v>
      </c>
      <c r="B97" s="633"/>
      <c r="C97" s="633"/>
      <c r="D97" s="633"/>
      <c r="E97" s="462">
        <f>E22+E39+E50+E59+E66+E94+E75</f>
        <v>2669</v>
      </c>
      <c r="F97" s="462">
        <f>F22+F39+F50+F59+F66+F94+F75</f>
        <v>1535</v>
      </c>
      <c r="G97" s="462">
        <f>G22+G39+G50+G59+G66+G94+G75</f>
        <v>1134</v>
      </c>
      <c r="H97" s="463">
        <f>E97/E99</f>
        <v>0.90108035111411211</v>
      </c>
      <c r="I97" s="462"/>
      <c r="J97" s="462">
        <f t="shared" ref="J97:T97" si="54">J22+J39+J50+J59+J66+J94+J75</f>
        <v>2037</v>
      </c>
      <c r="K97" s="462">
        <f t="shared" si="54"/>
        <v>632</v>
      </c>
      <c r="L97" s="462">
        <f t="shared" si="54"/>
        <v>1160</v>
      </c>
      <c r="M97" s="462">
        <f t="shared" si="54"/>
        <v>1327</v>
      </c>
      <c r="N97" s="462">
        <f t="shared" si="54"/>
        <v>16</v>
      </c>
      <c r="O97" s="462">
        <f t="shared" si="54"/>
        <v>56</v>
      </c>
      <c r="P97" s="462">
        <f t="shared" si="54"/>
        <v>9</v>
      </c>
      <c r="Q97" s="462">
        <f t="shared" si="54"/>
        <v>72</v>
      </c>
      <c r="R97" s="462">
        <f t="shared" si="54"/>
        <v>1</v>
      </c>
      <c r="S97" s="462">
        <f t="shared" si="54"/>
        <v>23</v>
      </c>
      <c r="T97" s="462">
        <f t="shared" si="54"/>
        <v>5</v>
      </c>
    </row>
    <row r="98" spans="1:20" x14ac:dyDescent="0.2">
      <c r="A98" s="632" t="s">
        <v>238</v>
      </c>
      <c r="B98" s="633"/>
      <c r="C98" s="633"/>
      <c r="D98" s="633"/>
      <c r="E98" s="462">
        <f>E27+E43+E62+E86</f>
        <v>293</v>
      </c>
      <c r="F98" s="462">
        <f>F27+F43+F62+F86</f>
        <v>192</v>
      </c>
      <c r="G98" s="462">
        <f>G27+G43+G62+G86</f>
        <v>101</v>
      </c>
      <c r="H98" s="463">
        <f>E98/E99</f>
        <v>9.8919648885887917E-2</v>
      </c>
      <c r="I98" s="462"/>
      <c r="J98" s="462">
        <f t="shared" ref="J98:T98" si="55">J27+J43+J62+J86</f>
        <v>99</v>
      </c>
      <c r="K98" s="462">
        <f t="shared" si="55"/>
        <v>194</v>
      </c>
      <c r="L98" s="462">
        <f t="shared" si="55"/>
        <v>160</v>
      </c>
      <c r="M98" s="462">
        <f t="shared" si="55"/>
        <v>89</v>
      </c>
      <c r="N98" s="462">
        <f t="shared" si="55"/>
        <v>5</v>
      </c>
      <c r="O98" s="462">
        <f t="shared" si="55"/>
        <v>30</v>
      </c>
      <c r="P98" s="462">
        <f t="shared" si="55"/>
        <v>2</v>
      </c>
      <c r="Q98" s="462">
        <f t="shared" si="55"/>
        <v>3</v>
      </c>
      <c r="R98" s="462">
        <f t="shared" si="55"/>
        <v>0</v>
      </c>
      <c r="S98" s="462">
        <f t="shared" si="55"/>
        <v>2</v>
      </c>
      <c r="T98" s="462">
        <f t="shared" si="55"/>
        <v>2</v>
      </c>
    </row>
    <row r="99" spans="1:20" x14ac:dyDescent="0.2">
      <c r="A99" s="634" t="s">
        <v>239</v>
      </c>
      <c r="B99" s="635"/>
      <c r="C99" s="635"/>
      <c r="D99" s="635"/>
      <c r="E99" s="464">
        <f>E28+E44+E51+E63+E67+E95+E87</f>
        <v>2962</v>
      </c>
      <c r="F99" s="464">
        <f>F28+F44+F51+F63+F67+F95+F87</f>
        <v>1727</v>
      </c>
      <c r="G99" s="464">
        <f>G28+G44+G51+G63+G67+G95+G87</f>
        <v>1235</v>
      </c>
      <c r="H99" s="465">
        <f>H97+H98</f>
        <v>1</v>
      </c>
      <c r="I99" s="464"/>
      <c r="J99" s="464">
        <f t="shared" ref="J99:T99" si="56">J28+J44+J51+J63+J67+J95+J87</f>
        <v>2136</v>
      </c>
      <c r="K99" s="464">
        <f t="shared" si="56"/>
        <v>826</v>
      </c>
      <c r="L99" s="464">
        <f t="shared" si="56"/>
        <v>1320</v>
      </c>
      <c r="M99" s="464">
        <f t="shared" si="56"/>
        <v>1416</v>
      </c>
      <c r="N99" s="464">
        <f t="shared" si="56"/>
        <v>21</v>
      </c>
      <c r="O99" s="464">
        <f t="shared" si="56"/>
        <v>86</v>
      </c>
      <c r="P99" s="464">
        <f t="shared" si="56"/>
        <v>11</v>
      </c>
      <c r="Q99" s="464">
        <f t="shared" si="56"/>
        <v>75</v>
      </c>
      <c r="R99" s="464">
        <f t="shared" si="56"/>
        <v>1</v>
      </c>
      <c r="S99" s="464">
        <f t="shared" si="56"/>
        <v>25</v>
      </c>
      <c r="T99" s="464">
        <f t="shared" si="56"/>
        <v>7</v>
      </c>
    </row>
    <row r="100" spans="1:20" s="31" customFormat="1" x14ac:dyDescent="0.2">
      <c r="F100" s="311">
        <f>F99/$E$99</f>
        <v>0.58305199189736667</v>
      </c>
      <c r="G100" s="311">
        <f>G99/$E$99</f>
        <v>0.41694800810263338</v>
      </c>
      <c r="J100" s="312">
        <f>J99/$E$99</f>
        <v>0.72113436866981773</v>
      </c>
      <c r="K100" s="312">
        <f>K99/$E$99</f>
        <v>0.27886563133018233</v>
      </c>
      <c r="L100" s="312">
        <f>L99/$E$99</f>
        <v>0.44564483457123566</v>
      </c>
      <c r="M100" s="312">
        <f>M99/$E$99</f>
        <v>0.47805536799459825</v>
      </c>
      <c r="N100" s="312">
        <f>N99/$E$99</f>
        <v>7.0898041863605675E-3</v>
      </c>
      <c r="O100" s="312">
        <f t="shared" ref="O100:S100" si="57">O99/$E$99</f>
        <v>2.9034436191762322E-2</v>
      </c>
      <c r="P100" s="312">
        <f>P99/$E$99</f>
        <v>3.7137069547602971E-3</v>
      </c>
      <c r="Q100" s="312">
        <f t="shared" si="57"/>
        <v>2.5320729237002026E-2</v>
      </c>
      <c r="R100" s="312">
        <f t="shared" si="57"/>
        <v>3.3760972316002703E-4</v>
      </c>
      <c r="S100" s="312">
        <f t="shared" si="57"/>
        <v>8.4402430790006758E-3</v>
      </c>
      <c r="T100" s="312">
        <f t="shared" ref="T100" si="58">T99/$E$99</f>
        <v>2.3632680621201892E-3</v>
      </c>
    </row>
    <row r="101" spans="1:20" x14ac:dyDescent="0.2">
      <c r="L101" s="466"/>
    </row>
  </sheetData>
  <mergeCells count="32">
    <mergeCell ref="A99:D99"/>
    <mergeCell ref="A94:D94"/>
    <mergeCell ref="A95:D95"/>
    <mergeCell ref="A75:D75"/>
    <mergeCell ref="A86:D86"/>
    <mergeCell ref="A87:D87"/>
    <mergeCell ref="A97:D97"/>
    <mergeCell ref="A43:D43"/>
    <mergeCell ref="A44:D44"/>
    <mergeCell ref="A50:D50"/>
    <mergeCell ref="A98:D98"/>
    <mergeCell ref="H6:H7"/>
    <mergeCell ref="A27:D27"/>
    <mergeCell ref="A51:D51"/>
    <mergeCell ref="A59:D59"/>
    <mergeCell ref="A62:D62"/>
    <mergeCell ref="A63:D63"/>
    <mergeCell ref="A66:D66"/>
    <mergeCell ref="A67:D67"/>
    <mergeCell ref="A28:D28"/>
    <mergeCell ref="A39:D39"/>
    <mergeCell ref="A5:S5"/>
    <mergeCell ref="I6:I7"/>
    <mergeCell ref="J6:K6"/>
    <mergeCell ref="A22:D22"/>
    <mergeCell ref="E6:E7"/>
    <mergeCell ref="F6:G6"/>
    <mergeCell ref="A6:A7"/>
    <mergeCell ref="B6:B7"/>
    <mergeCell ref="C6:C7"/>
    <mergeCell ref="D6:D7"/>
    <mergeCell ref="L6:T6"/>
  </mergeCells>
  <hyperlinks>
    <hyperlink ref="P1" location="'Table of Contents'!A1" display="Back to Table Of Contents" xr:uid="{ED0656E7-A2F2-4DB0-8153-408C79B8D70E}"/>
  </hyperlinks>
  <printOptions horizontalCentered="1" verticalCentered="1"/>
  <pageMargins left="0.5" right="0.5" top="0.5" bottom="0.5" header="0.5" footer="0.25"/>
  <pageSetup scale="75" orientation="landscape" r:id="rId1"/>
  <headerFooter alignWithMargins="0">
    <oddHeader>&amp;ROctober 2022</oddHeader>
    <oddFooter>&amp;CPage &amp;P of &amp;N&amp;R&amp;8&amp;F</oddFooter>
  </headerFooter>
  <rowBreaks count="2" manualBreakCount="2">
    <brk id="33" max="16383" man="1"/>
    <brk id="6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1EBBE-017C-409D-A5CB-2A252803C245}">
  <sheetPr codeName="Sheet6">
    <tabColor theme="6"/>
  </sheetPr>
  <dimension ref="A1:W151"/>
  <sheetViews>
    <sheetView zoomScaleNormal="100" zoomScaleSheetLayoutView="80" zoomScalePageLayoutView="80" workbookViewId="0">
      <pane ySplit="7" topLeftCell="A8" activePane="bottomLeft" state="frozen"/>
      <selection activeCell="A114" sqref="A114:XFD114"/>
      <selection pane="bottomLeft" activeCell="J1" sqref="J1"/>
    </sheetView>
  </sheetViews>
  <sheetFormatPr defaultColWidth="9.140625" defaultRowHeight="12.75" x14ac:dyDescent="0.2"/>
  <cols>
    <col min="1" max="1" width="5.5703125" style="29" customWidth="1"/>
    <col min="2" max="2" width="8.7109375" style="29" customWidth="1"/>
    <col min="3" max="3" width="5" style="29" customWidth="1"/>
    <col min="4" max="4" width="22.7109375" style="29" customWidth="1"/>
    <col min="5" max="5" width="13.7109375" style="29" customWidth="1"/>
    <col min="6" max="6" width="5.7109375" style="29" customWidth="1"/>
    <col min="7" max="8" width="5.5703125" style="29" customWidth="1"/>
    <col min="9" max="10" width="7.28515625" style="29" customWidth="1"/>
    <col min="11" max="12" width="5.7109375" style="29" customWidth="1"/>
    <col min="13" max="16" width="6.85546875" style="29" customWidth="1"/>
    <col min="17" max="18" width="7.28515625" style="29" customWidth="1"/>
    <col min="19" max="19" width="7.28515625" style="29" hidden="1" customWidth="1"/>
    <col min="20" max="21" width="7.28515625" style="29" customWidth="1"/>
    <col min="22" max="22" width="7.28515625" style="29" hidden="1" customWidth="1"/>
    <col min="23" max="23" width="4.7109375" style="29" customWidth="1"/>
    <col min="24" max="16384" width="9.140625" style="29"/>
  </cols>
  <sheetData>
    <row r="1" spans="1:23" ht="24" customHeight="1" x14ac:dyDescent="0.3">
      <c r="C1" s="445"/>
      <c r="J1" s="446"/>
      <c r="K1" s="446"/>
      <c r="L1" s="446"/>
      <c r="M1" s="446"/>
      <c r="N1" s="446"/>
      <c r="O1" s="446"/>
      <c r="P1" s="446"/>
      <c r="Q1" s="132" t="s">
        <v>98</v>
      </c>
    </row>
    <row r="2" spans="1:23" ht="22.5" customHeight="1" x14ac:dyDescent="0.25">
      <c r="C2" s="447"/>
      <c r="J2" s="446"/>
      <c r="K2" s="446"/>
      <c r="L2" s="446"/>
      <c r="M2" s="446"/>
      <c r="N2" s="446"/>
      <c r="O2" s="446"/>
      <c r="P2" s="446"/>
    </row>
    <row r="3" spans="1:23" ht="25.5" customHeight="1" x14ac:dyDescent="0.2">
      <c r="C3" s="448"/>
      <c r="J3" s="446"/>
      <c r="K3" s="446"/>
      <c r="L3" s="446"/>
      <c r="M3" s="446"/>
      <c r="N3" s="446"/>
      <c r="O3" s="446"/>
      <c r="P3" s="446"/>
    </row>
    <row r="4" spans="1:23" ht="18.75" customHeight="1" x14ac:dyDescent="0.2">
      <c r="C4" s="448"/>
      <c r="J4" s="446"/>
      <c r="K4" s="446"/>
      <c r="L4" s="446"/>
      <c r="M4" s="446"/>
      <c r="N4" s="446"/>
      <c r="O4" s="446"/>
      <c r="P4" s="446"/>
    </row>
    <row r="5" spans="1:23" ht="25.5" customHeight="1" x14ac:dyDescent="0.2">
      <c r="C5" s="473" t="s">
        <v>289</v>
      </c>
      <c r="D5" s="474"/>
      <c r="E5" s="474"/>
      <c r="J5" s="446"/>
      <c r="K5" s="446"/>
      <c r="L5" s="446"/>
      <c r="M5" s="446"/>
      <c r="N5" s="446"/>
      <c r="O5" s="446"/>
      <c r="P5" s="446"/>
    </row>
    <row r="6" spans="1:23" s="16" customFormat="1" ht="15.6" customHeight="1" x14ac:dyDescent="0.2">
      <c r="A6" s="616" t="s">
        <v>65</v>
      </c>
      <c r="B6" s="619" t="s">
        <v>288</v>
      </c>
      <c r="C6" s="653" t="s">
        <v>118</v>
      </c>
      <c r="D6" s="623" t="s">
        <v>66</v>
      </c>
      <c r="E6" s="655" t="s">
        <v>217</v>
      </c>
      <c r="F6" s="616" t="s">
        <v>22</v>
      </c>
      <c r="G6" s="624" t="s">
        <v>71</v>
      </c>
      <c r="H6" s="625"/>
      <c r="I6" s="650" t="s">
        <v>69</v>
      </c>
      <c r="J6" s="650" t="s">
        <v>169</v>
      </c>
      <c r="K6" s="626" t="s">
        <v>86</v>
      </c>
      <c r="L6" s="626"/>
      <c r="M6" s="627" t="s">
        <v>104</v>
      </c>
      <c r="N6" s="627"/>
      <c r="O6" s="627"/>
      <c r="P6" s="627"/>
      <c r="Q6" s="627"/>
      <c r="R6" s="627"/>
      <c r="S6" s="627"/>
      <c r="T6" s="627"/>
      <c r="U6" s="627"/>
      <c r="V6" s="564"/>
      <c r="W6" s="513"/>
    </row>
    <row r="7" spans="1:23" s="16" customFormat="1" ht="68.25" customHeight="1" x14ac:dyDescent="0.2">
      <c r="A7" s="616"/>
      <c r="B7" s="620"/>
      <c r="C7" s="654"/>
      <c r="D7" s="623"/>
      <c r="E7" s="655"/>
      <c r="F7" s="616"/>
      <c r="G7" s="313" t="s">
        <v>81</v>
      </c>
      <c r="H7" s="313" t="s">
        <v>82</v>
      </c>
      <c r="I7" s="650"/>
      <c r="J7" s="650"/>
      <c r="K7" s="271" t="s">
        <v>108</v>
      </c>
      <c r="L7" s="271" t="s">
        <v>109</v>
      </c>
      <c r="M7" s="139" t="s">
        <v>88</v>
      </c>
      <c r="N7" s="140" t="s">
        <v>93</v>
      </c>
      <c r="O7" s="139" t="s">
        <v>89</v>
      </c>
      <c r="P7" s="139" t="s">
        <v>92</v>
      </c>
      <c r="Q7" s="139" t="s">
        <v>666</v>
      </c>
      <c r="R7" s="139" t="s">
        <v>90</v>
      </c>
      <c r="S7" s="139" t="s">
        <v>91</v>
      </c>
      <c r="T7" s="139" t="s">
        <v>668</v>
      </c>
      <c r="U7" s="139" t="s">
        <v>669</v>
      </c>
      <c r="V7" s="139" t="s">
        <v>172</v>
      </c>
    </row>
    <row r="8" spans="1:23" x14ac:dyDescent="0.2">
      <c r="A8" s="218" t="s">
        <v>1435</v>
      </c>
      <c r="B8" s="218" t="s">
        <v>218</v>
      </c>
      <c r="C8" s="449" t="s">
        <v>68</v>
      </c>
      <c r="D8" s="450" t="s">
        <v>328</v>
      </c>
      <c r="E8" s="450" t="s">
        <v>407</v>
      </c>
      <c r="F8" s="451">
        <f>G8+H8</f>
        <v>11</v>
      </c>
      <c r="G8" s="451">
        <v>9</v>
      </c>
      <c r="H8" s="451">
        <v>2</v>
      </c>
      <c r="I8" s="452">
        <f t="shared" ref="I8:I32" si="0">F8/$F$148</f>
        <v>3.7137069547602971E-3</v>
      </c>
      <c r="J8" s="452">
        <f t="shared" ref="J8:J32" si="1">F8/$F$146</f>
        <v>4.121393780442113E-3</v>
      </c>
      <c r="K8" s="451">
        <v>8</v>
      </c>
      <c r="L8" s="451">
        <v>3</v>
      </c>
      <c r="M8" s="451">
        <v>2</v>
      </c>
      <c r="N8" s="451">
        <v>3</v>
      </c>
      <c r="O8" s="451">
        <v>2</v>
      </c>
      <c r="P8" s="451">
        <v>4</v>
      </c>
      <c r="Q8" s="451" t="s">
        <v>117</v>
      </c>
      <c r="R8" s="451" t="s">
        <v>117</v>
      </c>
      <c r="S8" s="451"/>
      <c r="T8" s="451" t="s">
        <v>117</v>
      </c>
      <c r="U8" s="451" t="s">
        <v>117</v>
      </c>
      <c r="V8" s="451"/>
    </row>
    <row r="9" spans="1:23" x14ac:dyDescent="0.2">
      <c r="A9" s="218" t="s">
        <v>1435</v>
      </c>
      <c r="B9" s="218" t="s">
        <v>218</v>
      </c>
      <c r="C9" s="449" t="s">
        <v>68</v>
      </c>
      <c r="D9" s="450" t="s">
        <v>372</v>
      </c>
      <c r="E9" s="450" t="s">
        <v>655</v>
      </c>
      <c r="F9" s="451">
        <f t="shared" ref="F9:F32" si="2">G9+H9</f>
        <v>8</v>
      </c>
      <c r="G9" s="451">
        <v>8</v>
      </c>
      <c r="H9" s="451">
        <v>0</v>
      </c>
      <c r="I9" s="452">
        <f t="shared" si="0"/>
        <v>2.7008777852802163E-3</v>
      </c>
      <c r="J9" s="452">
        <f t="shared" si="1"/>
        <v>2.9973772948669914E-3</v>
      </c>
      <c r="K9" s="451">
        <v>4</v>
      </c>
      <c r="L9" s="451">
        <v>4</v>
      </c>
      <c r="M9" s="451">
        <v>4</v>
      </c>
      <c r="N9" s="451">
        <v>1</v>
      </c>
      <c r="O9" s="451">
        <v>1</v>
      </c>
      <c r="P9" s="451">
        <v>2</v>
      </c>
      <c r="Q9" s="451" t="s">
        <v>117</v>
      </c>
      <c r="R9" s="451" t="s">
        <v>117</v>
      </c>
      <c r="S9" s="451"/>
      <c r="T9" s="451" t="s">
        <v>117</v>
      </c>
      <c r="U9" s="451" t="s">
        <v>117</v>
      </c>
      <c r="V9" s="451"/>
    </row>
    <row r="10" spans="1:23" x14ac:dyDescent="0.2">
      <c r="A10" s="218" t="s">
        <v>1435</v>
      </c>
      <c r="B10" s="218" t="s">
        <v>218</v>
      </c>
      <c r="C10" s="449" t="s">
        <v>68</v>
      </c>
      <c r="D10" s="450" t="s">
        <v>372</v>
      </c>
      <c r="E10" s="450" t="s">
        <v>656</v>
      </c>
      <c r="F10" s="451">
        <f t="shared" si="2"/>
        <v>10</v>
      </c>
      <c r="G10" s="451">
        <v>8</v>
      </c>
      <c r="H10" s="451">
        <v>2</v>
      </c>
      <c r="I10" s="452">
        <f t="shared" si="0"/>
        <v>3.37609723160027E-3</v>
      </c>
      <c r="J10" s="452">
        <f t="shared" si="1"/>
        <v>3.7467216185837391E-3</v>
      </c>
      <c r="K10" s="451">
        <v>6</v>
      </c>
      <c r="L10" s="451">
        <v>4</v>
      </c>
      <c r="M10" s="451">
        <v>1</v>
      </c>
      <c r="N10" s="451">
        <v>1</v>
      </c>
      <c r="O10" s="451">
        <v>3</v>
      </c>
      <c r="P10" s="451">
        <v>5</v>
      </c>
      <c r="Q10" s="451" t="s">
        <v>117</v>
      </c>
      <c r="R10" s="451" t="s">
        <v>117</v>
      </c>
      <c r="S10" s="451"/>
      <c r="T10" s="451" t="s">
        <v>117</v>
      </c>
      <c r="U10" s="451" t="s">
        <v>117</v>
      </c>
      <c r="V10" s="451"/>
    </row>
    <row r="11" spans="1:23" x14ac:dyDescent="0.2">
      <c r="A11" s="218" t="s">
        <v>1435</v>
      </c>
      <c r="B11" s="218" t="s">
        <v>218</v>
      </c>
      <c r="C11" s="449" t="s">
        <v>68</v>
      </c>
      <c r="D11" s="450" t="s">
        <v>360</v>
      </c>
      <c r="E11" s="450" t="s">
        <v>653</v>
      </c>
      <c r="F11" s="451">
        <f t="shared" si="2"/>
        <v>8</v>
      </c>
      <c r="G11" s="451">
        <v>5</v>
      </c>
      <c r="H11" s="451">
        <v>3</v>
      </c>
      <c r="I11" s="452">
        <f t="shared" si="0"/>
        <v>2.7008777852802163E-3</v>
      </c>
      <c r="J11" s="452">
        <f t="shared" si="1"/>
        <v>2.9973772948669914E-3</v>
      </c>
      <c r="K11" s="451">
        <v>8</v>
      </c>
      <c r="L11" s="451">
        <v>0</v>
      </c>
      <c r="M11" s="451">
        <v>2</v>
      </c>
      <c r="N11" s="451">
        <v>0</v>
      </c>
      <c r="O11" s="451">
        <v>3</v>
      </c>
      <c r="P11" s="451">
        <v>3</v>
      </c>
      <c r="Q11" s="451" t="s">
        <v>117</v>
      </c>
      <c r="R11" s="451" t="s">
        <v>117</v>
      </c>
      <c r="S11" s="451"/>
      <c r="T11" s="451" t="s">
        <v>117</v>
      </c>
      <c r="U11" s="451" t="s">
        <v>117</v>
      </c>
      <c r="V11" s="451"/>
    </row>
    <row r="12" spans="1:23" x14ac:dyDescent="0.2">
      <c r="A12" s="218" t="s">
        <v>1435</v>
      </c>
      <c r="B12" s="218" t="s">
        <v>218</v>
      </c>
      <c r="C12" s="449" t="s">
        <v>68</v>
      </c>
      <c r="D12" s="450" t="s">
        <v>360</v>
      </c>
      <c r="E12" s="450" t="s">
        <v>1438</v>
      </c>
      <c r="F12" s="451">
        <f t="shared" si="2"/>
        <v>1</v>
      </c>
      <c r="G12" s="451">
        <v>1</v>
      </c>
      <c r="H12" s="451">
        <v>0</v>
      </c>
      <c r="I12" s="452">
        <f t="shared" si="0"/>
        <v>3.3760972316002703E-4</v>
      </c>
      <c r="J12" s="452">
        <f t="shared" si="1"/>
        <v>3.7467216185837392E-4</v>
      </c>
      <c r="K12" s="451">
        <v>1</v>
      </c>
      <c r="L12" s="451">
        <v>0</v>
      </c>
      <c r="M12" s="451">
        <v>0</v>
      </c>
      <c r="N12" s="451">
        <v>0</v>
      </c>
      <c r="O12" s="451">
        <v>0</v>
      </c>
      <c r="P12" s="451">
        <v>1</v>
      </c>
      <c r="Q12" s="451" t="s">
        <v>117</v>
      </c>
      <c r="R12" s="451" t="s">
        <v>117</v>
      </c>
      <c r="S12" s="451"/>
      <c r="T12" s="451" t="s">
        <v>117</v>
      </c>
      <c r="U12" s="451" t="s">
        <v>117</v>
      </c>
      <c r="V12" s="451"/>
    </row>
    <row r="13" spans="1:23" x14ac:dyDescent="0.2">
      <c r="A13" s="218" t="s">
        <v>1435</v>
      </c>
      <c r="B13" s="218" t="s">
        <v>218</v>
      </c>
      <c r="C13" s="449" t="s">
        <v>68</v>
      </c>
      <c r="D13" s="450" t="s">
        <v>360</v>
      </c>
      <c r="E13" s="450" t="s">
        <v>408</v>
      </c>
      <c r="F13" s="451">
        <f t="shared" si="2"/>
        <v>6</v>
      </c>
      <c r="G13" s="451">
        <v>4</v>
      </c>
      <c r="H13" s="451">
        <v>2</v>
      </c>
      <c r="I13" s="452">
        <f t="shared" si="0"/>
        <v>2.0256583389601621E-3</v>
      </c>
      <c r="J13" s="452">
        <f t="shared" si="1"/>
        <v>2.2480329711502436E-3</v>
      </c>
      <c r="K13" s="451">
        <v>4</v>
      </c>
      <c r="L13" s="451">
        <v>2</v>
      </c>
      <c r="M13" s="451">
        <v>1</v>
      </c>
      <c r="N13" s="451">
        <v>1</v>
      </c>
      <c r="O13" s="451">
        <v>1</v>
      </c>
      <c r="P13" s="451">
        <v>3</v>
      </c>
      <c r="Q13" s="451" t="s">
        <v>117</v>
      </c>
      <c r="R13" s="451" t="s">
        <v>117</v>
      </c>
      <c r="S13" s="451"/>
      <c r="T13" s="451" t="s">
        <v>117</v>
      </c>
      <c r="U13" s="451" t="s">
        <v>117</v>
      </c>
      <c r="V13" s="451"/>
    </row>
    <row r="14" spans="1:23" x14ac:dyDescent="0.2">
      <c r="A14" s="218" t="s">
        <v>1435</v>
      </c>
      <c r="B14" s="218" t="s">
        <v>218</v>
      </c>
      <c r="C14" s="449" t="s">
        <v>68</v>
      </c>
      <c r="D14" s="450" t="s">
        <v>360</v>
      </c>
      <c r="E14" s="450" t="s">
        <v>654</v>
      </c>
      <c r="F14" s="451">
        <f t="shared" ref="F14" si="3">G14+H14</f>
        <v>16</v>
      </c>
      <c r="G14" s="451">
        <v>10</v>
      </c>
      <c r="H14" s="451">
        <v>6</v>
      </c>
      <c r="I14" s="452">
        <f t="shared" si="0"/>
        <v>5.4017555705604325E-3</v>
      </c>
      <c r="J14" s="452">
        <f t="shared" si="1"/>
        <v>5.9947545897339827E-3</v>
      </c>
      <c r="K14" s="451">
        <v>14</v>
      </c>
      <c r="L14" s="451">
        <v>2</v>
      </c>
      <c r="M14" s="451">
        <v>8</v>
      </c>
      <c r="N14" s="451">
        <v>3</v>
      </c>
      <c r="O14" s="451">
        <v>5</v>
      </c>
      <c r="P14" s="451">
        <v>0</v>
      </c>
      <c r="Q14" s="451" t="s">
        <v>117</v>
      </c>
      <c r="R14" s="451" t="s">
        <v>117</v>
      </c>
      <c r="S14" s="451"/>
      <c r="T14" s="451" t="s">
        <v>117</v>
      </c>
      <c r="U14" s="451" t="s">
        <v>117</v>
      </c>
      <c r="V14" s="451"/>
    </row>
    <row r="15" spans="1:23" x14ac:dyDescent="0.2">
      <c r="A15" s="218" t="s">
        <v>1435</v>
      </c>
      <c r="B15" s="218" t="s">
        <v>218</v>
      </c>
      <c r="C15" s="449" t="s">
        <v>68</v>
      </c>
      <c r="D15" s="450" t="s">
        <v>360</v>
      </c>
      <c r="E15" s="450" t="s">
        <v>1439</v>
      </c>
      <c r="F15" s="451">
        <f t="shared" si="2"/>
        <v>1</v>
      </c>
      <c r="G15" s="451">
        <v>1</v>
      </c>
      <c r="H15" s="451">
        <v>0</v>
      </c>
      <c r="I15" s="452">
        <f t="shared" si="0"/>
        <v>3.3760972316002703E-4</v>
      </c>
      <c r="J15" s="452">
        <f t="shared" si="1"/>
        <v>3.7467216185837392E-4</v>
      </c>
      <c r="K15" s="451">
        <v>1</v>
      </c>
      <c r="L15" s="451">
        <v>0</v>
      </c>
      <c r="M15" s="451">
        <v>0</v>
      </c>
      <c r="N15" s="451">
        <v>1</v>
      </c>
      <c r="O15" s="451">
        <v>0</v>
      </c>
      <c r="P15" s="451">
        <v>0</v>
      </c>
      <c r="Q15" s="451" t="s">
        <v>117</v>
      </c>
      <c r="R15" s="451" t="s">
        <v>117</v>
      </c>
      <c r="S15" s="451"/>
      <c r="T15" s="451" t="s">
        <v>117</v>
      </c>
      <c r="U15" s="451" t="s">
        <v>117</v>
      </c>
      <c r="V15" s="451"/>
    </row>
    <row r="16" spans="1:23" x14ac:dyDescent="0.2">
      <c r="A16" s="218" t="s">
        <v>1435</v>
      </c>
      <c r="B16" s="218" t="s">
        <v>218</v>
      </c>
      <c r="C16" s="449" t="s">
        <v>68</v>
      </c>
      <c r="D16" s="450" t="s">
        <v>360</v>
      </c>
      <c r="E16" s="450" t="s">
        <v>409</v>
      </c>
      <c r="F16" s="451">
        <f t="shared" si="2"/>
        <v>13</v>
      </c>
      <c r="G16" s="451">
        <v>5</v>
      </c>
      <c r="H16" s="451">
        <v>8</v>
      </c>
      <c r="I16" s="452">
        <f t="shared" si="0"/>
        <v>4.3889264010803508E-3</v>
      </c>
      <c r="J16" s="452">
        <f t="shared" si="1"/>
        <v>4.8707381041588607E-3</v>
      </c>
      <c r="K16" s="451">
        <v>11</v>
      </c>
      <c r="L16" s="451">
        <v>2</v>
      </c>
      <c r="M16" s="451">
        <v>0</v>
      </c>
      <c r="N16" s="451">
        <v>0</v>
      </c>
      <c r="O16" s="451">
        <v>3</v>
      </c>
      <c r="P16" s="451">
        <v>10</v>
      </c>
      <c r="Q16" s="451" t="s">
        <v>117</v>
      </c>
      <c r="R16" s="451" t="s">
        <v>117</v>
      </c>
      <c r="S16" s="451"/>
      <c r="T16" s="451" t="s">
        <v>117</v>
      </c>
      <c r="U16" s="451" t="s">
        <v>117</v>
      </c>
      <c r="V16" s="451"/>
    </row>
    <row r="17" spans="1:22" x14ac:dyDescent="0.2">
      <c r="A17" s="218" t="s">
        <v>1435</v>
      </c>
      <c r="B17" s="218" t="s">
        <v>218</v>
      </c>
      <c r="C17" s="449" t="s">
        <v>68</v>
      </c>
      <c r="D17" s="450" t="s">
        <v>360</v>
      </c>
      <c r="E17" s="218" t="s">
        <v>410</v>
      </c>
      <c r="F17" s="451">
        <f t="shared" si="2"/>
        <v>1</v>
      </c>
      <c r="G17" s="451">
        <v>1</v>
      </c>
      <c r="H17" s="451">
        <v>0</v>
      </c>
      <c r="I17" s="452">
        <f t="shared" si="0"/>
        <v>3.3760972316002703E-4</v>
      </c>
      <c r="J17" s="452">
        <f t="shared" si="1"/>
        <v>3.7467216185837392E-4</v>
      </c>
      <c r="K17" s="451">
        <v>1</v>
      </c>
      <c r="L17" s="451">
        <v>0</v>
      </c>
      <c r="M17" s="451">
        <v>0</v>
      </c>
      <c r="N17" s="451">
        <v>0</v>
      </c>
      <c r="O17" s="451">
        <v>1</v>
      </c>
      <c r="P17" s="451">
        <v>0</v>
      </c>
      <c r="Q17" s="451" t="s">
        <v>117</v>
      </c>
      <c r="R17" s="451" t="s">
        <v>117</v>
      </c>
      <c r="S17" s="451"/>
      <c r="T17" s="451" t="s">
        <v>117</v>
      </c>
      <c r="U17" s="451" t="s">
        <v>117</v>
      </c>
      <c r="V17" s="451"/>
    </row>
    <row r="18" spans="1:22" x14ac:dyDescent="0.2">
      <c r="A18" s="218" t="s">
        <v>1435</v>
      </c>
      <c r="B18" s="218" t="s">
        <v>218</v>
      </c>
      <c r="C18" s="449" t="s">
        <v>68</v>
      </c>
      <c r="D18" s="450" t="s">
        <v>360</v>
      </c>
      <c r="E18" s="450" t="s">
        <v>411</v>
      </c>
      <c r="F18" s="451">
        <f t="shared" si="2"/>
        <v>5</v>
      </c>
      <c r="G18" s="451">
        <v>3</v>
      </c>
      <c r="H18" s="451">
        <v>2</v>
      </c>
      <c r="I18" s="452">
        <f t="shared" si="0"/>
        <v>1.688048615800135E-3</v>
      </c>
      <c r="J18" s="452">
        <f t="shared" si="1"/>
        <v>1.8733608092918695E-3</v>
      </c>
      <c r="K18" s="451">
        <v>5</v>
      </c>
      <c r="L18" s="451">
        <v>0</v>
      </c>
      <c r="M18" s="451">
        <v>1</v>
      </c>
      <c r="N18" s="451">
        <v>0</v>
      </c>
      <c r="O18" s="451">
        <v>1</v>
      </c>
      <c r="P18" s="451">
        <v>3</v>
      </c>
      <c r="Q18" s="451" t="s">
        <v>117</v>
      </c>
      <c r="R18" s="451" t="s">
        <v>117</v>
      </c>
      <c r="S18" s="451"/>
      <c r="T18" s="451" t="s">
        <v>117</v>
      </c>
      <c r="U18" s="451" t="s">
        <v>117</v>
      </c>
      <c r="V18" s="451"/>
    </row>
    <row r="19" spans="1:22" x14ac:dyDescent="0.2">
      <c r="A19" s="218" t="s">
        <v>1435</v>
      </c>
      <c r="B19" s="218" t="s">
        <v>218</v>
      </c>
      <c r="C19" s="449" t="s">
        <v>68</v>
      </c>
      <c r="D19" s="450" t="s">
        <v>371</v>
      </c>
      <c r="E19" s="450" t="s">
        <v>657</v>
      </c>
      <c r="F19" s="451">
        <f t="shared" si="2"/>
        <v>10</v>
      </c>
      <c r="G19" s="451">
        <v>6</v>
      </c>
      <c r="H19" s="451">
        <v>4</v>
      </c>
      <c r="I19" s="452">
        <f t="shared" si="0"/>
        <v>3.37609723160027E-3</v>
      </c>
      <c r="J19" s="452">
        <f t="shared" si="1"/>
        <v>3.7467216185837391E-3</v>
      </c>
      <c r="K19" s="451">
        <v>9</v>
      </c>
      <c r="L19" s="451">
        <v>1</v>
      </c>
      <c r="M19" s="451">
        <v>2</v>
      </c>
      <c r="N19" s="451">
        <v>0</v>
      </c>
      <c r="O19" s="451">
        <v>3</v>
      </c>
      <c r="P19" s="451">
        <v>5</v>
      </c>
      <c r="Q19" s="451" t="s">
        <v>117</v>
      </c>
      <c r="R19" s="451" t="s">
        <v>117</v>
      </c>
      <c r="S19" s="451"/>
      <c r="T19" s="451" t="s">
        <v>117</v>
      </c>
      <c r="U19" s="451" t="s">
        <v>117</v>
      </c>
      <c r="V19" s="451"/>
    </row>
    <row r="20" spans="1:22" x14ac:dyDescent="0.2">
      <c r="A20" s="218" t="s">
        <v>1435</v>
      </c>
      <c r="B20" s="218" t="s">
        <v>218</v>
      </c>
      <c r="C20" s="449" t="s">
        <v>68</v>
      </c>
      <c r="D20" s="450" t="s">
        <v>371</v>
      </c>
      <c r="E20" s="450" t="s">
        <v>412</v>
      </c>
      <c r="F20" s="451">
        <f t="shared" si="2"/>
        <v>8</v>
      </c>
      <c r="G20" s="451">
        <v>5</v>
      </c>
      <c r="H20" s="451">
        <v>3</v>
      </c>
      <c r="I20" s="452">
        <f t="shared" si="0"/>
        <v>2.7008777852802163E-3</v>
      </c>
      <c r="J20" s="452">
        <f t="shared" si="1"/>
        <v>2.9973772948669914E-3</v>
      </c>
      <c r="K20" s="451">
        <v>5</v>
      </c>
      <c r="L20" s="451">
        <v>3</v>
      </c>
      <c r="M20" s="451">
        <v>3</v>
      </c>
      <c r="N20" s="451">
        <v>2</v>
      </c>
      <c r="O20" s="451">
        <v>2</v>
      </c>
      <c r="P20" s="451">
        <v>1</v>
      </c>
      <c r="Q20" s="451" t="s">
        <v>117</v>
      </c>
      <c r="R20" s="451" t="s">
        <v>117</v>
      </c>
      <c r="S20" s="451"/>
      <c r="T20" s="451" t="s">
        <v>117</v>
      </c>
      <c r="U20" s="451" t="s">
        <v>117</v>
      </c>
      <c r="V20" s="451"/>
    </row>
    <row r="21" spans="1:22" x14ac:dyDescent="0.2">
      <c r="A21" s="218" t="s">
        <v>1435</v>
      </c>
      <c r="B21" s="218" t="s">
        <v>218</v>
      </c>
      <c r="C21" s="449" t="s">
        <v>68</v>
      </c>
      <c r="D21" s="450" t="s">
        <v>371</v>
      </c>
      <c r="E21" s="450" t="s">
        <v>413</v>
      </c>
      <c r="F21" s="451">
        <f t="shared" si="2"/>
        <v>20</v>
      </c>
      <c r="G21" s="451">
        <v>10</v>
      </c>
      <c r="H21" s="451">
        <v>10</v>
      </c>
      <c r="I21" s="452">
        <f t="shared" si="0"/>
        <v>6.75219446320054E-3</v>
      </c>
      <c r="J21" s="452">
        <f t="shared" si="1"/>
        <v>7.4934432371674782E-3</v>
      </c>
      <c r="K21" s="451">
        <v>12</v>
      </c>
      <c r="L21" s="451">
        <v>8</v>
      </c>
      <c r="M21" s="451">
        <v>3</v>
      </c>
      <c r="N21" s="451">
        <v>5</v>
      </c>
      <c r="O21" s="451">
        <v>3</v>
      </c>
      <c r="P21" s="451">
        <v>9</v>
      </c>
      <c r="Q21" s="451" t="s">
        <v>117</v>
      </c>
      <c r="R21" s="451" t="s">
        <v>117</v>
      </c>
      <c r="S21" s="451"/>
      <c r="T21" s="451" t="s">
        <v>117</v>
      </c>
      <c r="U21" s="451" t="s">
        <v>117</v>
      </c>
      <c r="V21" s="451"/>
    </row>
    <row r="22" spans="1:22" x14ac:dyDescent="0.2">
      <c r="A22" s="218" t="s">
        <v>1435</v>
      </c>
      <c r="B22" s="218" t="s">
        <v>218</v>
      </c>
      <c r="C22" s="449" t="s">
        <v>68</v>
      </c>
      <c r="D22" s="450" t="s">
        <v>362</v>
      </c>
      <c r="E22" s="450" t="s">
        <v>414</v>
      </c>
      <c r="F22" s="451">
        <f t="shared" si="2"/>
        <v>45</v>
      </c>
      <c r="G22" s="451">
        <v>25</v>
      </c>
      <c r="H22" s="451">
        <v>20</v>
      </c>
      <c r="I22" s="452">
        <f t="shared" si="0"/>
        <v>1.5192437542201216E-2</v>
      </c>
      <c r="J22" s="452">
        <f t="shared" si="1"/>
        <v>1.6860247283626825E-2</v>
      </c>
      <c r="K22" s="451">
        <v>36</v>
      </c>
      <c r="L22" s="451">
        <v>9</v>
      </c>
      <c r="M22" s="451">
        <v>11</v>
      </c>
      <c r="N22" s="451">
        <v>13</v>
      </c>
      <c r="O22" s="451">
        <v>13</v>
      </c>
      <c r="P22" s="451">
        <v>8</v>
      </c>
      <c r="Q22" s="451" t="s">
        <v>117</v>
      </c>
      <c r="R22" s="451" t="s">
        <v>117</v>
      </c>
      <c r="S22" s="451"/>
      <c r="T22" s="451" t="s">
        <v>117</v>
      </c>
      <c r="U22" s="451" t="s">
        <v>117</v>
      </c>
      <c r="V22" s="451"/>
    </row>
    <row r="23" spans="1:22" x14ac:dyDescent="0.2">
      <c r="A23" s="218" t="s">
        <v>1435</v>
      </c>
      <c r="B23" s="218" t="s">
        <v>218</v>
      </c>
      <c r="C23" s="449" t="s">
        <v>68</v>
      </c>
      <c r="D23" s="450" t="s">
        <v>363</v>
      </c>
      <c r="E23" s="450" t="s">
        <v>415</v>
      </c>
      <c r="F23" s="451">
        <f t="shared" si="2"/>
        <v>10</v>
      </c>
      <c r="G23" s="451">
        <v>3</v>
      </c>
      <c r="H23" s="451">
        <v>7</v>
      </c>
      <c r="I23" s="452">
        <f t="shared" si="0"/>
        <v>3.37609723160027E-3</v>
      </c>
      <c r="J23" s="452">
        <f t="shared" si="1"/>
        <v>3.7467216185837391E-3</v>
      </c>
      <c r="K23" s="451">
        <v>4</v>
      </c>
      <c r="L23" s="451">
        <v>6</v>
      </c>
      <c r="M23" s="451">
        <v>3</v>
      </c>
      <c r="N23" s="451">
        <v>4</v>
      </c>
      <c r="O23" s="451">
        <v>1</v>
      </c>
      <c r="P23" s="451">
        <v>2</v>
      </c>
      <c r="Q23" s="451" t="s">
        <v>117</v>
      </c>
      <c r="R23" s="451" t="s">
        <v>117</v>
      </c>
      <c r="S23" s="451"/>
      <c r="T23" s="451" t="s">
        <v>117</v>
      </c>
      <c r="U23" s="451" t="s">
        <v>117</v>
      </c>
      <c r="V23" s="451"/>
    </row>
    <row r="24" spans="1:22" x14ac:dyDescent="0.2">
      <c r="A24" s="218" t="s">
        <v>1435</v>
      </c>
      <c r="B24" s="218" t="s">
        <v>218</v>
      </c>
      <c r="C24" s="449" t="s">
        <v>68</v>
      </c>
      <c r="D24" s="450" t="s">
        <v>364</v>
      </c>
      <c r="E24" s="450" t="s">
        <v>416</v>
      </c>
      <c r="F24" s="451">
        <f t="shared" si="2"/>
        <v>8</v>
      </c>
      <c r="G24" s="451">
        <v>2</v>
      </c>
      <c r="H24" s="451">
        <v>6</v>
      </c>
      <c r="I24" s="452">
        <f t="shared" si="0"/>
        <v>2.7008777852802163E-3</v>
      </c>
      <c r="J24" s="452">
        <f t="shared" si="1"/>
        <v>2.9973772948669914E-3</v>
      </c>
      <c r="K24" s="451">
        <v>3</v>
      </c>
      <c r="L24" s="451">
        <v>5</v>
      </c>
      <c r="M24" s="451">
        <v>2</v>
      </c>
      <c r="N24" s="451">
        <v>1</v>
      </c>
      <c r="O24" s="451">
        <v>3</v>
      </c>
      <c r="P24" s="451">
        <v>2</v>
      </c>
      <c r="Q24" s="451" t="s">
        <v>117</v>
      </c>
      <c r="R24" s="451" t="s">
        <v>117</v>
      </c>
      <c r="S24" s="451"/>
      <c r="T24" s="451" t="s">
        <v>117</v>
      </c>
      <c r="U24" s="451" t="s">
        <v>117</v>
      </c>
      <c r="V24" s="451"/>
    </row>
    <row r="25" spans="1:22" x14ac:dyDescent="0.2">
      <c r="A25" s="218" t="s">
        <v>1435</v>
      </c>
      <c r="B25" s="218" t="s">
        <v>218</v>
      </c>
      <c r="C25" s="449" t="s">
        <v>68</v>
      </c>
      <c r="D25" s="450" t="s">
        <v>365</v>
      </c>
      <c r="E25" s="450" t="s">
        <v>417</v>
      </c>
      <c r="F25" s="451">
        <f t="shared" si="2"/>
        <v>1</v>
      </c>
      <c r="G25" s="451">
        <v>0</v>
      </c>
      <c r="H25" s="451">
        <v>1</v>
      </c>
      <c r="I25" s="452">
        <f t="shared" si="0"/>
        <v>3.3760972316002703E-4</v>
      </c>
      <c r="J25" s="452">
        <f t="shared" si="1"/>
        <v>3.7467216185837392E-4</v>
      </c>
      <c r="K25" s="451">
        <v>0</v>
      </c>
      <c r="L25" s="451">
        <v>1</v>
      </c>
      <c r="M25" s="451">
        <v>0</v>
      </c>
      <c r="N25" s="451">
        <v>0</v>
      </c>
      <c r="O25" s="451">
        <v>0</v>
      </c>
      <c r="P25" s="451">
        <v>1</v>
      </c>
      <c r="Q25" s="451" t="s">
        <v>117</v>
      </c>
      <c r="R25" s="451" t="s">
        <v>117</v>
      </c>
      <c r="S25" s="451"/>
      <c r="T25" s="451" t="s">
        <v>117</v>
      </c>
      <c r="U25" s="451" t="s">
        <v>117</v>
      </c>
      <c r="V25" s="451"/>
    </row>
    <row r="26" spans="1:22" x14ac:dyDescent="0.2">
      <c r="A26" s="218" t="s">
        <v>1435</v>
      </c>
      <c r="B26" s="218" t="s">
        <v>218</v>
      </c>
      <c r="C26" s="449" t="s">
        <v>68</v>
      </c>
      <c r="D26" s="450" t="s">
        <v>365</v>
      </c>
      <c r="E26" s="450" t="s">
        <v>418</v>
      </c>
      <c r="F26" s="451">
        <f t="shared" si="2"/>
        <v>9</v>
      </c>
      <c r="G26" s="451">
        <v>2</v>
      </c>
      <c r="H26" s="451">
        <v>7</v>
      </c>
      <c r="I26" s="452">
        <f t="shared" si="0"/>
        <v>3.0384875084402429E-3</v>
      </c>
      <c r="J26" s="452">
        <f t="shared" si="1"/>
        <v>3.3720494567253652E-3</v>
      </c>
      <c r="K26" s="451">
        <v>7</v>
      </c>
      <c r="L26" s="451">
        <v>2</v>
      </c>
      <c r="M26" s="451">
        <v>2</v>
      </c>
      <c r="N26" s="451">
        <v>2</v>
      </c>
      <c r="O26" s="451">
        <v>3</v>
      </c>
      <c r="P26" s="451">
        <v>2</v>
      </c>
      <c r="Q26" s="451" t="s">
        <v>117</v>
      </c>
      <c r="R26" s="451" t="s">
        <v>117</v>
      </c>
      <c r="S26" s="451"/>
      <c r="T26" s="451" t="s">
        <v>117</v>
      </c>
      <c r="U26" s="451" t="s">
        <v>117</v>
      </c>
      <c r="V26" s="451"/>
    </row>
    <row r="27" spans="1:22" x14ac:dyDescent="0.2">
      <c r="A27" s="218" t="s">
        <v>1435</v>
      </c>
      <c r="B27" s="218" t="s">
        <v>218</v>
      </c>
      <c r="C27" s="449" t="s">
        <v>68</v>
      </c>
      <c r="D27" s="450" t="s">
        <v>366</v>
      </c>
      <c r="E27" s="450" t="s">
        <v>419</v>
      </c>
      <c r="F27" s="451">
        <f t="shared" si="2"/>
        <v>1</v>
      </c>
      <c r="G27" s="451">
        <v>0</v>
      </c>
      <c r="H27" s="451">
        <v>1</v>
      </c>
      <c r="I27" s="452">
        <f t="shared" si="0"/>
        <v>3.3760972316002703E-4</v>
      </c>
      <c r="J27" s="452">
        <f t="shared" si="1"/>
        <v>3.7467216185837392E-4</v>
      </c>
      <c r="K27" s="451">
        <v>0</v>
      </c>
      <c r="L27" s="451">
        <v>1</v>
      </c>
      <c r="M27" s="451">
        <v>0</v>
      </c>
      <c r="N27" s="451">
        <v>0</v>
      </c>
      <c r="O27" s="451">
        <v>0</v>
      </c>
      <c r="P27" s="451">
        <v>1</v>
      </c>
      <c r="Q27" s="451" t="s">
        <v>117</v>
      </c>
      <c r="R27" s="451" t="s">
        <v>117</v>
      </c>
      <c r="S27" s="451"/>
      <c r="T27" s="451" t="s">
        <v>117</v>
      </c>
      <c r="U27" s="451" t="s">
        <v>117</v>
      </c>
      <c r="V27" s="451"/>
    </row>
    <row r="28" spans="1:22" x14ac:dyDescent="0.2">
      <c r="A28" s="218" t="s">
        <v>1435</v>
      </c>
      <c r="B28" s="218" t="s">
        <v>218</v>
      </c>
      <c r="C28" s="449" t="s">
        <v>68</v>
      </c>
      <c r="D28" s="450" t="s">
        <v>367</v>
      </c>
      <c r="E28" s="450" t="s">
        <v>407</v>
      </c>
      <c r="F28" s="451">
        <f t="shared" si="2"/>
        <v>6</v>
      </c>
      <c r="G28" s="451">
        <v>4</v>
      </c>
      <c r="H28" s="451">
        <v>2</v>
      </c>
      <c r="I28" s="452">
        <f t="shared" si="0"/>
        <v>2.0256583389601621E-3</v>
      </c>
      <c r="J28" s="452">
        <f t="shared" si="1"/>
        <v>2.2480329711502436E-3</v>
      </c>
      <c r="K28" s="451">
        <v>6</v>
      </c>
      <c r="L28" s="451">
        <v>0</v>
      </c>
      <c r="M28" s="451">
        <v>2</v>
      </c>
      <c r="N28" s="451">
        <v>1</v>
      </c>
      <c r="O28" s="451">
        <v>2</v>
      </c>
      <c r="P28" s="451">
        <v>1</v>
      </c>
      <c r="Q28" s="451" t="s">
        <v>117</v>
      </c>
      <c r="R28" s="451" t="s">
        <v>117</v>
      </c>
      <c r="S28" s="451"/>
      <c r="T28" s="451" t="s">
        <v>117</v>
      </c>
      <c r="U28" s="451" t="s">
        <v>117</v>
      </c>
      <c r="V28" s="451"/>
    </row>
    <row r="29" spans="1:22" x14ac:dyDescent="0.2">
      <c r="A29" s="218" t="s">
        <v>1435</v>
      </c>
      <c r="B29" s="218" t="s">
        <v>218</v>
      </c>
      <c r="C29" s="449" t="s">
        <v>68</v>
      </c>
      <c r="D29" s="450" t="s">
        <v>368</v>
      </c>
      <c r="E29" s="450" t="s">
        <v>420</v>
      </c>
      <c r="F29" s="451">
        <f t="shared" si="2"/>
        <v>2</v>
      </c>
      <c r="G29" s="451">
        <v>1</v>
      </c>
      <c r="H29" s="451">
        <v>1</v>
      </c>
      <c r="I29" s="452">
        <f t="shared" si="0"/>
        <v>6.7521944632005406E-4</v>
      </c>
      <c r="J29" s="452">
        <f t="shared" si="1"/>
        <v>7.4934432371674784E-4</v>
      </c>
      <c r="K29" s="451">
        <v>1</v>
      </c>
      <c r="L29" s="451">
        <v>1</v>
      </c>
      <c r="M29" s="451">
        <v>1</v>
      </c>
      <c r="N29" s="451">
        <v>0</v>
      </c>
      <c r="O29" s="451">
        <v>1</v>
      </c>
      <c r="P29" s="451">
        <v>0</v>
      </c>
      <c r="Q29" s="451" t="s">
        <v>117</v>
      </c>
      <c r="R29" s="451" t="s">
        <v>117</v>
      </c>
      <c r="S29" s="451"/>
      <c r="T29" s="451" t="s">
        <v>117</v>
      </c>
      <c r="U29" s="451" t="s">
        <v>117</v>
      </c>
      <c r="V29" s="451"/>
    </row>
    <row r="30" spans="1:22" x14ac:dyDescent="0.2">
      <c r="A30" s="218" t="s">
        <v>1435</v>
      </c>
      <c r="B30" s="218" t="s">
        <v>218</v>
      </c>
      <c r="C30" s="449" t="s">
        <v>68</v>
      </c>
      <c r="D30" s="450" t="s">
        <v>368</v>
      </c>
      <c r="E30" s="450" t="s">
        <v>658</v>
      </c>
      <c r="F30" s="451">
        <f t="shared" si="2"/>
        <v>20</v>
      </c>
      <c r="G30" s="451">
        <v>12</v>
      </c>
      <c r="H30" s="451">
        <v>8</v>
      </c>
      <c r="I30" s="452">
        <f t="shared" si="0"/>
        <v>6.75219446320054E-3</v>
      </c>
      <c r="J30" s="452">
        <f t="shared" si="1"/>
        <v>7.4934432371674782E-3</v>
      </c>
      <c r="K30" s="451">
        <v>16</v>
      </c>
      <c r="L30" s="451">
        <v>4</v>
      </c>
      <c r="M30" s="451">
        <v>6</v>
      </c>
      <c r="N30" s="451">
        <v>4</v>
      </c>
      <c r="O30" s="451">
        <v>5</v>
      </c>
      <c r="P30" s="451">
        <v>5</v>
      </c>
      <c r="Q30" s="451" t="s">
        <v>117</v>
      </c>
      <c r="R30" s="451" t="s">
        <v>117</v>
      </c>
      <c r="S30" s="451"/>
      <c r="T30" s="451" t="s">
        <v>117</v>
      </c>
      <c r="U30" s="451" t="s">
        <v>117</v>
      </c>
      <c r="V30" s="451"/>
    </row>
    <row r="31" spans="1:22" x14ac:dyDescent="0.2">
      <c r="A31" s="218" t="s">
        <v>1435</v>
      </c>
      <c r="B31" s="218" t="s">
        <v>218</v>
      </c>
      <c r="C31" s="449" t="s">
        <v>68</v>
      </c>
      <c r="D31" s="450" t="s">
        <v>369</v>
      </c>
      <c r="E31" s="450" t="s">
        <v>407</v>
      </c>
      <c r="F31" s="451">
        <f t="shared" si="2"/>
        <v>112</v>
      </c>
      <c r="G31" s="451">
        <v>80</v>
      </c>
      <c r="H31" s="451">
        <v>32</v>
      </c>
      <c r="I31" s="452">
        <f t="shared" si="0"/>
        <v>3.7812288993923027E-2</v>
      </c>
      <c r="J31" s="452">
        <f t="shared" si="1"/>
        <v>4.196328212813788E-2</v>
      </c>
      <c r="K31" s="451">
        <v>92</v>
      </c>
      <c r="L31" s="451">
        <v>20</v>
      </c>
      <c r="M31" s="451">
        <v>47</v>
      </c>
      <c r="N31" s="451">
        <v>18</v>
      </c>
      <c r="O31" s="451">
        <v>24</v>
      </c>
      <c r="P31" s="451">
        <v>23</v>
      </c>
      <c r="Q31" s="451" t="s">
        <v>117</v>
      </c>
      <c r="R31" s="451" t="s">
        <v>117</v>
      </c>
      <c r="S31" s="451"/>
      <c r="T31" s="451" t="s">
        <v>117</v>
      </c>
      <c r="U31" s="451" t="s">
        <v>117</v>
      </c>
      <c r="V31" s="451"/>
    </row>
    <row r="32" spans="1:22" x14ac:dyDescent="0.2">
      <c r="A32" s="218" t="s">
        <v>1435</v>
      </c>
      <c r="B32" s="218" t="s">
        <v>218</v>
      </c>
      <c r="C32" s="449" t="s">
        <v>68</v>
      </c>
      <c r="D32" s="450" t="s">
        <v>370</v>
      </c>
      <c r="E32" s="450" t="s">
        <v>407</v>
      </c>
      <c r="F32" s="451">
        <f t="shared" si="2"/>
        <v>19</v>
      </c>
      <c r="G32" s="451">
        <v>11</v>
      </c>
      <c r="H32" s="451">
        <v>8</v>
      </c>
      <c r="I32" s="452">
        <f t="shared" si="0"/>
        <v>6.4145847400405133E-3</v>
      </c>
      <c r="J32" s="452">
        <f t="shared" si="1"/>
        <v>7.1187710753091047E-3</v>
      </c>
      <c r="K32" s="451">
        <v>14</v>
      </c>
      <c r="L32" s="451">
        <v>5</v>
      </c>
      <c r="M32" s="451">
        <v>6</v>
      </c>
      <c r="N32" s="451">
        <v>2</v>
      </c>
      <c r="O32" s="451">
        <v>4</v>
      </c>
      <c r="P32" s="451">
        <v>7</v>
      </c>
      <c r="Q32" s="451" t="s">
        <v>117</v>
      </c>
      <c r="R32" s="451" t="s">
        <v>117</v>
      </c>
      <c r="S32" s="451"/>
      <c r="T32" s="451" t="s">
        <v>117</v>
      </c>
      <c r="U32" s="451" t="s">
        <v>117</v>
      </c>
      <c r="V32" s="451"/>
    </row>
    <row r="33" spans="1:22" hidden="1" x14ac:dyDescent="0.2">
      <c r="A33" s="218"/>
      <c r="B33" s="218"/>
      <c r="C33" s="449"/>
      <c r="D33" s="450"/>
      <c r="E33" s="450"/>
      <c r="F33" s="451"/>
      <c r="G33" s="451"/>
      <c r="H33" s="451"/>
      <c r="I33" s="452"/>
      <c r="J33" s="452"/>
      <c r="K33" s="451"/>
      <c r="L33" s="451"/>
      <c r="M33" s="451"/>
      <c r="N33" s="451"/>
      <c r="O33" s="451"/>
      <c r="P33" s="451"/>
      <c r="Q33" s="451"/>
      <c r="R33" s="451"/>
      <c r="S33" s="451"/>
      <c r="T33" s="451"/>
      <c r="U33" s="451"/>
      <c r="V33" s="451"/>
    </row>
    <row r="34" spans="1:22" x14ac:dyDescent="0.2">
      <c r="A34" s="651" t="s">
        <v>219</v>
      </c>
      <c r="B34" s="652"/>
      <c r="C34" s="652"/>
      <c r="D34" s="652"/>
      <c r="E34" s="477"/>
      <c r="F34" s="478">
        <f t="shared" ref="F34:V34" si="4">SUM(F8:F33)</f>
        <v>351</v>
      </c>
      <c r="G34" s="478">
        <f t="shared" si="4"/>
        <v>216</v>
      </c>
      <c r="H34" s="478">
        <f t="shared" si="4"/>
        <v>135</v>
      </c>
      <c r="I34" s="479">
        <f t="shared" si="4"/>
        <v>0.11850101282916949</v>
      </c>
      <c r="J34" s="479">
        <f t="shared" si="4"/>
        <v>0.13150992881228926</v>
      </c>
      <c r="K34" s="478">
        <f t="shared" si="4"/>
        <v>268</v>
      </c>
      <c r="L34" s="478">
        <f t="shared" si="4"/>
        <v>83</v>
      </c>
      <c r="M34" s="478">
        <f t="shared" si="4"/>
        <v>107</v>
      </c>
      <c r="N34" s="478">
        <f t="shared" si="4"/>
        <v>62</v>
      </c>
      <c r="O34" s="478">
        <f t="shared" si="4"/>
        <v>84</v>
      </c>
      <c r="P34" s="478">
        <f t="shared" si="4"/>
        <v>98</v>
      </c>
      <c r="Q34" s="478">
        <f t="shared" si="4"/>
        <v>0</v>
      </c>
      <c r="R34" s="478">
        <f t="shared" si="4"/>
        <v>0</v>
      </c>
      <c r="S34" s="478">
        <f t="shared" si="4"/>
        <v>0</v>
      </c>
      <c r="T34" s="478">
        <f t="shared" si="4"/>
        <v>0</v>
      </c>
      <c r="U34" s="478">
        <f t="shared" si="4"/>
        <v>0</v>
      </c>
      <c r="V34" s="453">
        <f t="shared" si="4"/>
        <v>0</v>
      </c>
    </row>
    <row r="35" spans="1:22" x14ac:dyDescent="0.2">
      <c r="A35" s="328" t="s">
        <v>1435</v>
      </c>
      <c r="B35" s="328" t="s">
        <v>218</v>
      </c>
      <c r="C35" s="591" t="s">
        <v>67</v>
      </c>
      <c r="D35" s="557" t="s">
        <v>373</v>
      </c>
      <c r="E35" s="557" t="s">
        <v>407</v>
      </c>
      <c r="F35" s="480">
        <f t="shared" ref="F35:F38" si="5">G35+H35</f>
        <v>14</v>
      </c>
      <c r="G35" s="480">
        <v>11</v>
      </c>
      <c r="H35" s="480">
        <v>3</v>
      </c>
      <c r="I35" s="481">
        <f t="shared" ref="I35:I40" si="6">F35/$F$148</f>
        <v>4.7265361242403783E-3</v>
      </c>
      <c r="J35" s="481">
        <f t="shared" ref="J35:J40" si="7">F35/$F$147</f>
        <v>4.778156996587031E-2</v>
      </c>
      <c r="K35" s="480">
        <v>8</v>
      </c>
      <c r="L35" s="480">
        <v>6</v>
      </c>
      <c r="M35" s="480" t="s">
        <v>117</v>
      </c>
      <c r="N35" s="480" t="s">
        <v>117</v>
      </c>
      <c r="O35" s="480" t="s">
        <v>117</v>
      </c>
      <c r="P35" s="480" t="s">
        <v>117</v>
      </c>
      <c r="Q35" s="480" t="s">
        <v>117</v>
      </c>
      <c r="R35" s="480" t="s">
        <v>117</v>
      </c>
      <c r="S35" s="480"/>
      <c r="T35" s="480">
        <v>14</v>
      </c>
      <c r="U35" s="480">
        <v>0</v>
      </c>
      <c r="V35" s="451"/>
    </row>
    <row r="36" spans="1:22" x14ac:dyDescent="0.2">
      <c r="A36" s="218" t="s">
        <v>1435</v>
      </c>
      <c r="B36" s="218" t="s">
        <v>218</v>
      </c>
      <c r="C36" s="449" t="s">
        <v>67</v>
      </c>
      <c r="D36" s="450" t="s">
        <v>371</v>
      </c>
      <c r="E36" s="450" t="s">
        <v>412</v>
      </c>
      <c r="F36" s="451">
        <f t="shared" si="5"/>
        <v>2</v>
      </c>
      <c r="G36" s="451">
        <v>2</v>
      </c>
      <c r="H36" s="451">
        <v>0</v>
      </c>
      <c r="I36" s="452">
        <f t="shared" si="6"/>
        <v>6.7521944632005406E-4</v>
      </c>
      <c r="J36" s="452">
        <f t="shared" si="7"/>
        <v>6.8259385665529011E-3</v>
      </c>
      <c r="K36" s="451">
        <v>0</v>
      </c>
      <c r="L36" s="451">
        <v>2</v>
      </c>
      <c r="M36" s="451" t="s">
        <v>117</v>
      </c>
      <c r="N36" s="451" t="s">
        <v>117</v>
      </c>
      <c r="O36" s="451" t="s">
        <v>117</v>
      </c>
      <c r="P36" s="451" t="s">
        <v>117</v>
      </c>
      <c r="Q36" s="451" t="s">
        <v>117</v>
      </c>
      <c r="R36" s="451" t="s">
        <v>117</v>
      </c>
      <c r="S36" s="451"/>
      <c r="T36" s="451">
        <v>2</v>
      </c>
      <c r="U36" s="451">
        <v>0</v>
      </c>
      <c r="V36" s="451"/>
    </row>
    <row r="37" spans="1:22" x14ac:dyDescent="0.2">
      <c r="A37" s="218" t="s">
        <v>1435</v>
      </c>
      <c r="B37" s="218" t="s">
        <v>218</v>
      </c>
      <c r="C37" s="449" t="s">
        <v>67</v>
      </c>
      <c r="D37" s="450" t="s">
        <v>371</v>
      </c>
      <c r="E37" s="450" t="s">
        <v>413</v>
      </c>
      <c r="F37" s="451">
        <f t="shared" si="5"/>
        <v>9</v>
      </c>
      <c r="G37" s="451">
        <v>5</v>
      </c>
      <c r="H37" s="451">
        <v>4</v>
      </c>
      <c r="I37" s="452">
        <f t="shared" si="6"/>
        <v>3.0384875084402429E-3</v>
      </c>
      <c r="J37" s="452">
        <f t="shared" si="7"/>
        <v>3.0716723549488054E-2</v>
      </c>
      <c r="K37" s="451">
        <v>1</v>
      </c>
      <c r="L37" s="451">
        <v>8</v>
      </c>
      <c r="M37" s="451" t="s">
        <v>117</v>
      </c>
      <c r="N37" s="451" t="s">
        <v>117</v>
      </c>
      <c r="O37" s="451" t="s">
        <v>117</v>
      </c>
      <c r="P37" s="451" t="s">
        <v>117</v>
      </c>
      <c r="Q37" s="451" t="s">
        <v>117</v>
      </c>
      <c r="R37" s="451" t="s">
        <v>117</v>
      </c>
      <c r="S37" s="451"/>
      <c r="T37" s="451">
        <v>9</v>
      </c>
      <c r="U37" s="451">
        <v>0</v>
      </c>
      <c r="V37" s="451"/>
    </row>
    <row r="38" spans="1:22" x14ac:dyDescent="0.2">
      <c r="A38" s="218" t="s">
        <v>1435</v>
      </c>
      <c r="B38" s="218" t="s">
        <v>218</v>
      </c>
      <c r="C38" s="449" t="s">
        <v>67</v>
      </c>
      <c r="D38" s="450" t="s">
        <v>374</v>
      </c>
      <c r="E38" s="450" t="s">
        <v>407</v>
      </c>
      <c r="F38" s="451">
        <f t="shared" si="5"/>
        <v>17</v>
      </c>
      <c r="G38" s="451">
        <v>11</v>
      </c>
      <c r="H38" s="451">
        <v>6</v>
      </c>
      <c r="I38" s="452">
        <f t="shared" si="6"/>
        <v>5.7393652937204592E-3</v>
      </c>
      <c r="J38" s="452">
        <f t="shared" si="7"/>
        <v>5.8020477815699661E-2</v>
      </c>
      <c r="K38" s="451">
        <v>3</v>
      </c>
      <c r="L38" s="451">
        <v>14</v>
      </c>
      <c r="M38" s="451" t="s">
        <v>117</v>
      </c>
      <c r="N38" s="451" t="s">
        <v>117</v>
      </c>
      <c r="O38" s="451" t="s">
        <v>117</v>
      </c>
      <c r="P38" s="451" t="s">
        <v>117</v>
      </c>
      <c r="Q38" s="451" t="s">
        <v>117</v>
      </c>
      <c r="R38" s="451" t="s">
        <v>117</v>
      </c>
      <c r="S38" s="451"/>
      <c r="T38" s="451">
        <v>14</v>
      </c>
      <c r="U38" s="451">
        <v>3</v>
      </c>
      <c r="V38" s="451"/>
    </row>
    <row r="39" spans="1:22" hidden="1" x14ac:dyDescent="0.2">
      <c r="A39" s="218"/>
      <c r="B39" s="218" t="s">
        <v>218</v>
      </c>
      <c r="C39" s="449" t="s">
        <v>67</v>
      </c>
      <c r="D39" s="450"/>
      <c r="E39" s="450"/>
      <c r="F39" s="451"/>
      <c r="G39" s="451"/>
      <c r="H39" s="451"/>
      <c r="I39" s="452">
        <f t="shared" si="6"/>
        <v>0</v>
      </c>
      <c r="J39" s="452">
        <f t="shared" si="7"/>
        <v>0</v>
      </c>
      <c r="K39" s="451"/>
      <c r="L39" s="451"/>
      <c r="M39" s="451"/>
      <c r="N39" s="451"/>
      <c r="O39" s="451"/>
      <c r="P39" s="451"/>
      <c r="Q39" s="451"/>
      <c r="R39" s="451"/>
      <c r="S39" s="451"/>
      <c r="T39" s="451"/>
      <c r="U39" s="451"/>
      <c r="V39" s="451"/>
    </row>
    <row r="40" spans="1:22" hidden="1" x14ac:dyDescent="0.2">
      <c r="A40" s="218"/>
      <c r="B40" s="218" t="s">
        <v>218</v>
      </c>
      <c r="C40" s="449" t="s">
        <v>67</v>
      </c>
      <c r="D40" s="450"/>
      <c r="E40" s="450"/>
      <c r="F40" s="451"/>
      <c r="G40" s="451"/>
      <c r="H40" s="451"/>
      <c r="I40" s="452">
        <f t="shared" si="6"/>
        <v>0</v>
      </c>
      <c r="J40" s="452">
        <f t="shared" si="7"/>
        <v>0</v>
      </c>
      <c r="K40" s="451"/>
      <c r="L40" s="451"/>
      <c r="M40" s="451"/>
      <c r="N40" s="451"/>
      <c r="O40" s="451"/>
      <c r="P40" s="451"/>
      <c r="Q40" s="451"/>
      <c r="R40" s="451"/>
      <c r="S40" s="451"/>
      <c r="T40" s="451"/>
      <c r="U40" s="451"/>
      <c r="V40" s="451"/>
    </row>
    <row r="41" spans="1:22" x14ac:dyDescent="0.2">
      <c r="A41" s="630" t="s">
        <v>220</v>
      </c>
      <c r="B41" s="631"/>
      <c r="C41" s="631"/>
      <c r="D41" s="631"/>
      <c r="E41" s="475"/>
      <c r="F41" s="453">
        <f>SUM(F35:F40)</f>
        <v>42</v>
      </c>
      <c r="G41" s="453">
        <f t="shared" ref="G41:H41" si="8">SUM(G35:G40)</f>
        <v>29</v>
      </c>
      <c r="H41" s="453">
        <f t="shared" si="8"/>
        <v>13</v>
      </c>
      <c r="I41" s="454">
        <f>SUM(I35:I40)</f>
        <v>1.4179608372721135E-2</v>
      </c>
      <c r="J41" s="454">
        <f>SUM(J35:J40)</f>
        <v>0.14334470989761092</v>
      </c>
      <c r="K41" s="453">
        <f>SUM(K35:K40)</f>
        <v>12</v>
      </c>
      <c r="L41" s="453">
        <f t="shared" ref="L41:V41" si="9">SUM(L35:L40)</f>
        <v>30</v>
      </c>
      <c r="M41" s="453">
        <f t="shared" si="9"/>
        <v>0</v>
      </c>
      <c r="N41" s="453">
        <f t="shared" si="9"/>
        <v>0</v>
      </c>
      <c r="O41" s="453">
        <f t="shared" si="9"/>
        <v>0</v>
      </c>
      <c r="P41" s="453">
        <f t="shared" si="9"/>
        <v>0</v>
      </c>
      <c r="Q41" s="453">
        <f t="shared" si="9"/>
        <v>0</v>
      </c>
      <c r="R41" s="453">
        <f t="shared" si="9"/>
        <v>0</v>
      </c>
      <c r="S41" s="453">
        <f t="shared" si="9"/>
        <v>0</v>
      </c>
      <c r="T41" s="453">
        <f>SUM(T35:T40)</f>
        <v>39</v>
      </c>
      <c r="U41" s="453">
        <f>SUM(U35:U40)</f>
        <v>3</v>
      </c>
      <c r="V41" s="453">
        <f t="shared" si="9"/>
        <v>0</v>
      </c>
    </row>
    <row r="42" spans="1:22" x14ac:dyDescent="0.2">
      <c r="A42" s="658" t="s">
        <v>221</v>
      </c>
      <c r="B42" s="659"/>
      <c r="C42" s="659"/>
      <c r="D42" s="659"/>
      <c r="E42" s="586"/>
      <c r="F42" s="587">
        <f>F34+F41</f>
        <v>393</v>
      </c>
      <c r="G42" s="587">
        <f>G34+G41</f>
        <v>245</v>
      </c>
      <c r="H42" s="587">
        <f t="shared" ref="H42:U42" si="10">H34+H41</f>
        <v>148</v>
      </c>
      <c r="I42" s="588">
        <f>I34+I41</f>
        <v>0.13268062120189061</v>
      </c>
      <c r="J42" s="589"/>
      <c r="K42" s="587">
        <f t="shared" si="10"/>
        <v>280</v>
      </c>
      <c r="L42" s="587">
        <f t="shared" si="10"/>
        <v>113</v>
      </c>
      <c r="M42" s="587">
        <f t="shared" si="10"/>
        <v>107</v>
      </c>
      <c r="N42" s="587">
        <f t="shared" si="10"/>
        <v>62</v>
      </c>
      <c r="O42" s="587">
        <f t="shared" si="10"/>
        <v>84</v>
      </c>
      <c r="P42" s="587">
        <f t="shared" si="10"/>
        <v>98</v>
      </c>
      <c r="Q42" s="587">
        <f t="shared" si="10"/>
        <v>0</v>
      </c>
      <c r="R42" s="587">
        <f t="shared" si="10"/>
        <v>0</v>
      </c>
      <c r="S42" s="587">
        <f t="shared" si="10"/>
        <v>0</v>
      </c>
      <c r="T42" s="587">
        <f t="shared" si="10"/>
        <v>39</v>
      </c>
      <c r="U42" s="587">
        <f t="shared" si="10"/>
        <v>3</v>
      </c>
      <c r="V42" s="455">
        <f>V34+V41</f>
        <v>0</v>
      </c>
    </row>
    <row r="43" spans="1:22" ht="3" customHeight="1" x14ac:dyDescent="0.25">
      <c r="A43" s="458"/>
      <c r="B43" s="458"/>
      <c r="C43" s="458"/>
      <c r="D43" s="458"/>
      <c r="E43" s="458"/>
      <c r="F43" s="458"/>
      <c r="G43" s="458"/>
      <c r="H43" s="458"/>
      <c r="I43" s="458"/>
      <c r="J43" s="458"/>
      <c r="K43" s="458"/>
      <c r="L43" s="458"/>
      <c r="M43" s="458"/>
      <c r="N43" s="458"/>
      <c r="O43" s="458"/>
      <c r="P43" s="458"/>
      <c r="Q43" s="458"/>
      <c r="R43" s="458"/>
      <c r="S43" s="458"/>
      <c r="T43" s="458"/>
      <c r="U43" s="458"/>
      <c r="V43" s="458"/>
    </row>
    <row r="44" spans="1:22" x14ac:dyDescent="0.2">
      <c r="A44" s="218" t="s">
        <v>1435</v>
      </c>
      <c r="B44" s="459" t="s">
        <v>222</v>
      </c>
      <c r="C44" s="460" t="s">
        <v>68</v>
      </c>
      <c r="D44" s="450" t="s">
        <v>384</v>
      </c>
      <c r="E44" s="450" t="s">
        <v>421</v>
      </c>
      <c r="F44" s="451">
        <f t="shared" ref="F44:F60" si="11">G44+H44</f>
        <v>10</v>
      </c>
      <c r="G44" s="451">
        <v>4</v>
      </c>
      <c r="H44" s="451">
        <v>6</v>
      </c>
      <c r="I44" s="452">
        <f t="shared" ref="I44:I63" si="12">F44/$F$148</f>
        <v>3.37609723160027E-3</v>
      </c>
      <c r="J44" s="452">
        <f t="shared" ref="J44:J63" si="13">F44/$F$146</f>
        <v>3.7467216185837391E-3</v>
      </c>
      <c r="K44" s="451">
        <v>8</v>
      </c>
      <c r="L44" s="451">
        <v>2</v>
      </c>
      <c r="M44" s="451">
        <v>2</v>
      </c>
      <c r="N44" s="451">
        <v>2</v>
      </c>
      <c r="O44" s="451">
        <v>3</v>
      </c>
      <c r="P44" s="451">
        <v>3</v>
      </c>
      <c r="Q44" s="451" t="s">
        <v>117</v>
      </c>
      <c r="R44" s="451" t="s">
        <v>117</v>
      </c>
      <c r="S44" s="451" t="s">
        <v>117</v>
      </c>
      <c r="T44" s="451" t="s">
        <v>117</v>
      </c>
      <c r="U44" s="451" t="s">
        <v>117</v>
      </c>
      <c r="V44" s="451"/>
    </row>
    <row r="45" spans="1:22" x14ac:dyDescent="0.2">
      <c r="A45" s="218" t="s">
        <v>1435</v>
      </c>
      <c r="B45" s="459" t="s">
        <v>222</v>
      </c>
      <c r="C45" s="460" t="s">
        <v>68</v>
      </c>
      <c r="D45" s="450" t="s">
        <v>384</v>
      </c>
      <c r="E45" s="450" t="s">
        <v>422</v>
      </c>
      <c r="F45" s="451">
        <f t="shared" si="11"/>
        <v>5</v>
      </c>
      <c r="G45" s="451">
        <v>5</v>
      </c>
      <c r="H45" s="451">
        <v>0</v>
      </c>
      <c r="I45" s="452">
        <f t="shared" si="12"/>
        <v>1.688048615800135E-3</v>
      </c>
      <c r="J45" s="452">
        <f t="shared" si="13"/>
        <v>1.8733608092918695E-3</v>
      </c>
      <c r="K45" s="451">
        <v>4</v>
      </c>
      <c r="L45" s="451">
        <v>1</v>
      </c>
      <c r="M45" s="451">
        <v>1</v>
      </c>
      <c r="N45" s="451">
        <v>1</v>
      </c>
      <c r="O45" s="451">
        <v>1</v>
      </c>
      <c r="P45" s="451">
        <v>2</v>
      </c>
      <c r="Q45" s="451" t="s">
        <v>117</v>
      </c>
      <c r="R45" s="451" t="s">
        <v>117</v>
      </c>
      <c r="S45" s="451" t="s">
        <v>117</v>
      </c>
      <c r="T45" s="451" t="s">
        <v>117</v>
      </c>
      <c r="U45" s="451" t="s">
        <v>117</v>
      </c>
      <c r="V45" s="451"/>
    </row>
    <row r="46" spans="1:22" x14ac:dyDescent="0.2">
      <c r="A46" s="218" t="s">
        <v>1435</v>
      </c>
      <c r="B46" s="459" t="s">
        <v>222</v>
      </c>
      <c r="C46" s="460" t="s">
        <v>68</v>
      </c>
      <c r="D46" s="450" t="s">
        <v>384</v>
      </c>
      <c r="E46" s="450" t="s">
        <v>423</v>
      </c>
      <c r="F46" s="451">
        <f t="shared" si="11"/>
        <v>17</v>
      </c>
      <c r="G46" s="451">
        <v>10</v>
      </c>
      <c r="H46" s="451">
        <v>7</v>
      </c>
      <c r="I46" s="452">
        <f t="shared" si="12"/>
        <v>5.7393652937204592E-3</v>
      </c>
      <c r="J46" s="452">
        <f t="shared" si="13"/>
        <v>6.369426751592357E-3</v>
      </c>
      <c r="K46" s="451">
        <v>11</v>
      </c>
      <c r="L46" s="451">
        <v>6</v>
      </c>
      <c r="M46" s="451">
        <v>4</v>
      </c>
      <c r="N46" s="451">
        <v>4</v>
      </c>
      <c r="O46" s="451">
        <v>4</v>
      </c>
      <c r="P46" s="451">
        <v>5</v>
      </c>
      <c r="Q46" s="451" t="s">
        <v>117</v>
      </c>
      <c r="R46" s="451" t="s">
        <v>117</v>
      </c>
      <c r="S46" s="451" t="s">
        <v>117</v>
      </c>
      <c r="T46" s="451" t="s">
        <v>117</v>
      </c>
      <c r="U46" s="451" t="s">
        <v>117</v>
      </c>
      <c r="V46" s="451"/>
    </row>
    <row r="47" spans="1:22" x14ac:dyDescent="0.2">
      <c r="A47" s="218" t="s">
        <v>1435</v>
      </c>
      <c r="B47" s="459" t="s">
        <v>222</v>
      </c>
      <c r="C47" s="460" t="s">
        <v>68</v>
      </c>
      <c r="D47" s="450" t="s">
        <v>384</v>
      </c>
      <c r="E47" s="450" t="s">
        <v>424</v>
      </c>
      <c r="F47" s="451">
        <f t="shared" si="11"/>
        <v>19</v>
      </c>
      <c r="G47" s="451">
        <v>6</v>
      </c>
      <c r="H47" s="451">
        <v>13</v>
      </c>
      <c r="I47" s="452">
        <f t="shared" si="12"/>
        <v>6.4145847400405133E-3</v>
      </c>
      <c r="J47" s="452">
        <f t="shared" si="13"/>
        <v>7.1187710753091047E-3</v>
      </c>
      <c r="K47" s="451">
        <v>10</v>
      </c>
      <c r="L47" s="451">
        <v>9</v>
      </c>
      <c r="M47" s="451">
        <v>4</v>
      </c>
      <c r="N47" s="451">
        <v>4</v>
      </c>
      <c r="O47" s="451">
        <v>6</v>
      </c>
      <c r="P47" s="451">
        <v>5</v>
      </c>
      <c r="Q47" s="451" t="s">
        <v>117</v>
      </c>
      <c r="R47" s="451" t="s">
        <v>117</v>
      </c>
      <c r="S47" s="451" t="s">
        <v>117</v>
      </c>
      <c r="T47" s="451" t="s">
        <v>117</v>
      </c>
      <c r="U47" s="451" t="s">
        <v>117</v>
      </c>
      <c r="V47" s="451"/>
    </row>
    <row r="48" spans="1:22" x14ac:dyDescent="0.2">
      <c r="A48" s="218" t="s">
        <v>1435</v>
      </c>
      <c r="B48" s="459" t="s">
        <v>222</v>
      </c>
      <c r="C48" s="460" t="s">
        <v>68</v>
      </c>
      <c r="D48" s="450" t="s">
        <v>375</v>
      </c>
      <c r="E48" s="450" t="s">
        <v>407</v>
      </c>
      <c r="F48" s="451">
        <f t="shared" si="11"/>
        <v>6</v>
      </c>
      <c r="G48" s="451">
        <v>4</v>
      </c>
      <c r="H48" s="451">
        <v>2</v>
      </c>
      <c r="I48" s="452">
        <f t="shared" si="12"/>
        <v>2.0256583389601621E-3</v>
      </c>
      <c r="J48" s="452">
        <f t="shared" si="13"/>
        <v>2.2480329711502436E-3</v>
      </c>
      <c r="K48" s="451">
        <v>4</v>
      </c>
      <c r="L48" s="451">
        <v>2</v>
      </c>
      <c r="M48" s="451">
        <v>0</v>
      </c>
      <c r="N48" s="451">
        <v>0</v>
      </c>
      <c r="O48" s="451">
        <v>1</v>
      </c>
      <c r="P48" s="451">
        <v>5</v>
      </c>
      <c r="Q48" s="451" t="s">
        <v>117</v>
      </c>
      <c r="R48" s="451" t="s">
        <v>117</v>
      </c>
      <c r="S48" s="451" t="s">
        <v>117</v>
      </c>
      <c r="T48" s="451" t="s">
        <v>117</v>
      </c>
      <c r="U48" s="451" t="s">
        <v>117</v>
      </c>
      <c r="V48" s="451"/>
    </row>
    <row r="49" spans="1:22" x14ac:dyDescent="0.2">
      <c r="A49" s="218" t="s">
        <v>1435</v>
      </c>
      <c r="B49" s="459" t="s">
        <v>222</v>
      </c>
      <c r="C49" s="460" t="s">
        <v>68</v>
      </c>
      <c r="D49" s="450" t="s">
        <v>375</v>
      </c>
      <c r="E49" s="450" t="s">
        <v>425</v>
      </c>
      <c r="F49" s="451">
        <f t="shared" si="11"/>
        <v>24</v>
      </c>
      <c r="G49" s="451">
        <v>12</v>
      </c>
      <c r="H49" s="451">
        <v>12</v>
      </c>
      <c r="I49" s="452">
        <f t="shared" si="12"/>
        <v>8.1026333558406483E-3</v>
      </c>
      <c r="J49" s="452">
        <f t="shared" si="13"/>
        <v>8.9921318846009745E-3</v>
      </c>
      <c r="K49" s="451">
        <v>17</v>
      </c>
      <c r="L49" s="451">
        <v>7</v>
      </c>
      <c r="M49" s="451">
        <v>5</v>
      </c>
      <c r="N49" s="451">
        <v>4</v>
      </c>
      <c r="O49" s="451">
        <v>3</v>
      </c>
      <c r="P49" s="451">
        <v>12</v>
      </c>
      <c r="Q49" s="451" t="s">
        <v>117</v>
      </c>
      <c r="R49" s="451" t="s">
        <v>117</v>
      </c>
      <c r="S49" s="451" t="s">
        <v>117</v>
      </c>
      <c r="T49" s="451" t="s">
        <v>117</v>
      </c>
      <c r="U49" s="451" t="s">
        <v>117</v>
      </c>
      <c r="V49" s="451"/>
    </row>
    <row r="50" spans="1:22" x14ac:dyDescent="0.2">
      <c r="A50" s="218" t="s">
        <v>1435</v>
      </c>
      <c r="B50" s="459" t="s">
        <v>222</v>
      </c>
      <c r="C50" s="460" t="s">
        <v>68</v>
      </c>
      <c r="D50" s="450" t="s">
        <v>375</v>
      </c>
      <c r="E50" s="450" t="s">
        <v>426</v>
      </c>
      <c r="F50" s="451">
        <f t="shared" si="11"/>
        <v>134</v>
      </c>
      <c r="G50" s="451">
        <v>100</v>
      </c>
      <c r="H50" s="451">
        <v>34</v>
      </c>
      <c r="I50" s="452">
        <f t="shared" si="12"/>
        <v>4.5239702903443618E-2</v>
      </c>
      <c r="J50" s="452">
        <f t="shared" si="13"/>
        <v>5.0206069689022102E-2</v>
      </c>
      <c r="K50" s="451">
        <v>110</v>
      </c>
      <c r="L50" s="451">
        <v>24</v>
      </c>
      <c r="M50" s="451">
        <v>36</v>
      </c>
      <c r="N50" s="451">
        <v>41</v>
      </c>
      <c r="O50" s="451">
        <v>24</v>
      </c>
      <c r="P50" s="451">
        <v>33</v>
      </c>
      <c r="Q50" s="451" t="s">
        <v>117</v>
      </c>
      <c r="R50" s="451" t="s">
        <v>117</v>
      </c>
      <c r="S50" s="451" t="s">
        <v>117</v>
      </c>
      <c r="T50" s="451" t="s">
        <v>117</v>
      </c>
      <c r="U50" s="451" t="s">
        <v>117</v>
      </c>
      <c r="V50" s="451"/>
    </row>
    <row r="51" spans="1:22" x14ac:dyDescent="0.2">
      <c r="A51" s="218" t="s">
        <v>1435</v>
      </c>
      <c r="B51" s="459" t="s">
        <v>222</v>
      </c>
      <c r="C51" s="460" t="s">
        <v>68</v>
      </c>
      <c r="D51" s="450" t="s">
        <v>375</v>
      </c>
      <c r="E51" s="450" t="s">
        <v>427</v>
      </c>
      <c r="F51" s="451">
        <f t="shared" si="11"/>
        <v>52</v>
      </c>
      <c r="G51" s="451">
        <v>36</v>
      </c>
      <c r="H51" s="451">
        <v>16</v>
      </c>
      <c r="I51" s="452">
        <f t="shared" si="12"/>
        <v>1.7555705604321403E-2</v>
      </c>
      <c r="J51" s="452">
        <f t="shared" si="13"/>
        <v>1.9482952416635443E-2</v>
      </c>
      <c r="K51" s="451">
        <v>42</v>
      </c>
      <c r="L51" s="451">
        <v>10</v>
      </c>
      <c r="M51" s="451">
        <v>15</v>
      </c>
      <c r="N51" s="451">
        <v>14</v>
      </c>
      <c r="O51" s="451">
        <v>11</v>
      </c>
      <c r="P51" s="451">
        <v>12</v>
      </c>
      <c r="Q51" s="451" t="s">
        <v>117</v>
      </c>
      <c r="R51" s="451" t="s">
        <v>117</v>
      </c>
      <c r="S51" s="451" t="s">
        <v>117</v>
      </c>
      <c r="T51" s="451" t="s">
        <v>117</v>
      </c>
      <c r="U51" s="451" t="s">
        <v>117</v>
      </c>
      <c r="V51" s="451"/>
    </row>
    <row r="52" spans="1:22" x14ac:dyDescent="0.2">
      <c r="A52" s="218" t="s">
        <v>1435</v>
      </c>
      <c r="B52" s="459" t="s">
        <v>222</v>
      </c>
      <c r="C52" s="460" t="s">
        <v>68</v>
      </c>
      <c r="D52" s="450" t="s">
        <v>376</v>
      </c>
      <c r="E52" s="450" t="s">
        <v>428</v>
      </c>
      <c r="F52" s="451">
        <f t="shared" si="11"/>
        <v>17</v>
      </c>
      <c r="G52" s="451">
        <v>11</v>
      </c>
      <c r="H52" s="451">
        <v>6</v>
      </c>
      <c r="I52" s="452">
        <f t="shared" si="12"/>
        <v>5.7393652937204592E-3</v>
      </c>
      <c r="J52" s="452">
        <f t="shared" si="13"/>
        <v>6.369426751592357E-3</v>
      </c>
      <c r="K52" s="451">
        <v>17</v>
      </c>
      <c r="L52" s="451">
        <v>0</v>
      </c>
      <c r="M52" s="451">
        <v>11</v>
      </c>
      <c r="N52" s="451">
        <v>2</v>
      </c>
      <c r="O52" s="451">
        <v>2</v>
      </c>
      <c r="P52" s="451">
        <v>2</v>
      </c>
      <c r="Q52" s="451" t="s">
        <v>117</v>
      </c>
      <c r="R52" s="451" t="s">
        <v>117</v>
      </c>
      <c r="S52" s="451" t="s">
        <v>117</v>
      </c>
      <c r="T52" s="451" t="s">
        <v>117</v>
      </c>
      <c r="U52" s="451" t="s">
        <v>117</v>
      </c>
      <c r="V52" s="451"/>
    </row>
    <row r="53" spans="1:22" x14ac:dyDescent="0.2">
      <c r="A53" s="218" t="s">
        <v>1435</v>
      </c>
      <c r="B53" s="459" t="s">
        <v>222</v>
      </c>
      <c r="C53" s="460" t="s">
        <v>68</v>
      </c>
      <c r="D53" s="450" t="s">
        <v>376</v>
      </c>
      <c r="E53" s="450" t="s">
        <v>429</v>
      </c>
      <c r="F53" s="451">
        <f t="shared" si="11"/>
        <v>8</v>
      </c>
      <c r="G53" s="451">
        <v>4</v>
      </c>
      <c r="H53" s="451">
        <v>4</v>
      </c>
      <c r="I53" s="452">
        <f t="shared" si="12"/>
        <v>2.7008777852802163E-3</v>
      </c>
      <c r="J53" s="452">
        <f t="shared" si="13"/>
        <v>2.9973772948669914E-3</v>
      </c>
      <c r="K53" s="451">
        <v>7</v>
      </c>
      <c r="L53" s="451">
        <v>1</v>
      </c>
      <c r="M53" s="451">
        <v>1</v>
      </c>
      <c r="N53" s="451">
        <v>1</v>
      </c>
      <c r="O53" s="451">
        <v>2</v>
      </c>
      <c r="P53" s="451">
        <v>4</v>
      </c>
      <c r="Q53" s="451" t="s">
        <v>117</v>
      </c>
      <c r="R53" s="451" t="s">
        <v>117</v>
      </c>
      <c r="S53" s="451" t="s">
        <v>117</v>
      </c>
      <c r="T53" s="451" t="s">
        <v>117</v>
      </c>
      <c r="U53" s="451" t="s">
        <v>117</v>
      </c>
      <c r="V53" s="451"/>
    </row>
    <row r="54" spans="1:22" x14ac:dyDescent="0.2">
      <c r="A54" s="218" t="s">
        <v>1435</v>
      </c>
      <c r="B54" s="459" t="s">
        <v>222</v>
      </c>
      <c r="C54" s="460" t="s">
        <v>68</v>
      </c>
      <c r="D54" s="450" t="s">
        <v>376</v>
      </c>
      <c r="E54" s="450" t="s">
        <v>430</v>
      </c>
      <c r="F54" s="451">
        <f t="shared" si="11"/>
        <v>17</v>
      </c>
      <c r="G54" s="451">
        <v>10</v>
      </c>
      <c r="H54" s="451">
        <v>7</v>
      </c>
      <c r="I54" s="452">
        <f t="shared" si="12"/>
        <v>5.7393652937204592E-3</v>
      </c>
      <c r="J54" s="452">
        <f t="shared" si="13"/>
        <v>6.369426751592357E-3</v>
      </c>
      <c r="K54" s="451">
        <v>15</v>
      </c>
      <c r="L54" s="451">
        <v>2</v>
      </c>
      <c r="M54" s="451">
        <v>7</v>
      </c>
      <c r="N54" s="451">
        <v>4</v>
      </c>
      <c r="O54" s="451">
        <v>1</v>
      </c>
      <c r="P54" s="451">
        <v>5</v>
      </c>
      <c r="Q54" s="451" t="s">
        <v>117</v>
      </c>
      <c r="R54" s="451" t="s">
        <v>117</v>
      </c>
      <c r="S54" s="451" t="s">
        <v>117</v>
      </c>
      <c r="T54" s="451" t="s">
        <v>117</v>
      </c>
      <c r="U54" s="451" t="s">
        <v>117</v>
      </c>
      <c r="V54" s="451"/>
    </row>
    <row r="55" spans="1:22" x14ac:dyDescent="0.2">
      <c r="A55" s="218" t="s">
        <v>1435</v>
      </c>
      <c r="B55" s="459" t="s">
        <v>222</v>
      </c>
      <c r="C55" s="460" t="s">
        <v>68</v>
      </c>
      <c r="D55" s="450" t="s">
        <v>385</v>
      </c>
      <c r="E55" s="450" t="s">
        <v>407</v>
      </c>
      <c r="F55" s="451">
        <f t="shared" si="11"/>
        <v>4</v>
      </c>
      <c r="G55" s="451">
        <v>1</v>
      </c>
      <c r="H55" s="451">
        <v>3</v>
      </c>
      <c r="I55" s="452">
        <f t="shared" si="12"/>
        <v>1.3504388926401081E-3</v>
      </c>
      <c r="J55" s="452">
        <f t="shared" si="13"/>
        <v>1.4986886474334957E-3</v>
      </c>
      <c r="K55" s="451">
        <v>3</v>
      </c>
      <c r="L55" s="451">
        <v>1</v>
      </c>
      <c r="M55" s="451">
        <v>0</v>
      </c>
      <c r="N55" s="451">
        <v>0</v>
      </c>
      <c r="O55" s="451">
        <v>0</v>
      </c>
      <c r="P55" s="451">
        <v>4</v>
      </c>
      <c r="Q55" s="451" t="s">
        <v>117</v>
      </c>
      <c r="R55" s="451" t="s">
        <v>117</v>
      </c>
      <c r="S55" s="451" t="s">
        <v>117</v>
      </c>
      <c r="T55" s="451" t="s">
        <v>117</v>
      </c>
      <c r="U55" s="451" t="s">
        <v>117</v>
      </c>
      <c r="V55" s="451"/>
    </row>
    <row r="56" spans="1:22" x14ac:dyDescent="0.2">
      <c r="A56" s="218" t="s">
        <v>1435</v>
      </c>
      <c r="B56" s="459" t="s">
        <v>222</v>
      </c>
      <c r="C56" s="460" t="s">
        <v>68</v>
      </c>
      <c r="D56" s="450" t="s">
        <v>377</v>
      </c>
      <c r="E56" s="450" t="s">
        <v>407</v>
      </c>
      <c r="F56" s="451">
        <f t="shared" si="11"/>
        <v>15</v>
      </c>
      <c r="G56" s="451">
        <v>1</v>
      </c>
      <c r="H56" s="451">
        <v>14</v>
      </c>
      <c r="I56" s="452">
        <f t="shared" si="12"/>
        <v>5.064145847400405E-3</v>
      </c>
      <c r="J56" s="452">
        <f t="shared" si="13"/>
        <v>5.6200824278756084E-3</v>
      </c>
      <c r="K56" s="451">
        <v>6</v>
      </c>
      <c r="L56" s="451">
        <v>9</v>
      </c>
      <c r="M56" s="451">
        <v>0</v>
      </c>
      <c r="N56" s="451">
        <v>1</v>
      </c>
      <c r="O56" s="451">
        <v>3</v>
      </c>
      <c r="P56" s="451">
        <v>11</v>
      </c>
      <c r="Q56" s="451" t="s">
        <v>117</v>
      </c>
      <c r="R56" s="451" t="s">
        <v>117</v>
      </c>
      <c r="S56" s="451" t="s">
        <v>117</v>
      </c>
      <c r="T56" s="451" t="s">
        <v>117</v>
      </c>
      <c r="U56" s="451" t="s">
        <v>117</v>
      </c>
      <c r="V56" s="451"/>
    </row>
    <row r="57" spans="1:22" x14ac:dyDescent="0.2">
      <c r="A57" s="218" t="s">
        <v>1435</v>
      </c>
      <c r="B57" s="459" t="s">
        <v>222</v>
      </c>
      <c r="C57" s="460" t="s">
        <v>68</v>
      </c>
      <c r="D57" s="450" t="s">
        <v>378</v>
      </c>
      <c r="E57" s="450" t="s">
        <v>407</v>
      </c>
      <c r="F57" s="451">
        <f t="shared" si="11"/>
        <v>21</v>
      </c>
      <c r="G57" s="451">
        <v>7</v>
      </c>
      <c r="H57" s="451">
        <v>14</v>
      </c>
      <c r="I57" s="452">
        <f t="shared" si="12"/>
        <v>7.0898041863605675E-3</v>
      </c>
      <c r="J57" s="452">
        <f t="shared" si="13"/>
        <v>7.8681153990258525E-3</v>
      </c>
      <c r="K57" s="451">
        <v>15</v>
      </c>
      <c r="L57" s="451">
        <v>6</v>
      </c>
      <c r="M57" s="451">
        <v>3</v>
      </c>
      <c r="N57" s="451">
        <v>3</v>
      </c>
      <c r="O57" s="451">
        <v>4</v>
      </c>
      <c r="P57" s="451">
        <v>11</v>
      </c>
      <c r="Q57" s="451" t="s">
        <v>117</v>
      </c>
      <c r="R57" s="451" t="s">
        <v>117</v>
      </c>
      <c r="S57" s="451" t="s">
        <v>117</v>
      </c>
      <c r="T57" s="451" t="s">
        <v>117</v>
      </c>
      <c r="U57" s="451" t="s">
        <v>117</v>
      </c>
      <c r="V57" s="451"/>
    </row>
    <row r="58" spans="1:22" x14ac:dyDescent="0.2">
      <c r="A58" s="218" t="s">
        <v>1435</v>
      </c>
      <c r="B58" s="459" t="s">
        <v>222</v>
      </c>
      <c r="C58" s="460" t="s">
        <v>68</v>
      </c>
      <c r="D58" s="450" t="s">
        <v>380</v>
      </c>
      <c r="E58" s="450" t="s">
        <v>407</v>
      </c>
      <c r="F58" s="451">
        <f t="shared" si="11"/>
        <v>11</v>
      </c>
      <c r="G58" s="451">
        <v>7</v>
      </c>
      <c r="H58" s="451">
        <v>4</v>
      </c>
      <c r="I58" s="452">
        <f t="shared" si="12"/>
        <v>3.7137069547602971E-3</v>
      </c>
      <c r="J58" s="452">
        <f t="shared" si="13"/>
        <v>4.121393780442113E-3</v>
      </c>
      <c r="K58" s="451">
        <v>10</v>
      </c>
      <c r="L58" s="451">
        <v>1</v>
      </c>
      <c r="M58" s="451">
        <v>6</v>
      </c>
      <c r="N58" s="451">
        <v>3</v>
      </c>
      <c r="O58" s="451">
        <v>2</v>
      </c>
      <c r="P58" s="451">
        <v>0</v>
      </c>
      <c r="Q58" s="451" t="s">
        <v>117</v>
      </c>
      <c r="R58" s="451" t="s">
        <v>117</v>
      </c>
      <c r="S58" s="451" t="s">
        <v>117</v>
      </c>
      <c r="T58" s="451" t="s">
        <v>117</v>
      </c>
      <c r="U58" s="451" t="s">
        <v>117</v>
      </c>
      <c r="V58" s="451"/>
    </row>
    <row r="59" spans="1:22" x14ac:dyDescent="0.2">
      <c r="A59" s="218" t="s">
        <v>1435</v>
      </c>
      <c r="B59" s="459" t="s">
        <v>222</v>
      </c>
      <c r="C59" s="460" t="s">
        <v>68</v>
      </c>
      <c r="D59" s="450" t="s">
        <v>381</v>
      </c>
      <c r="E59" s="450" t="s">
        <v>407</v>
      </c>
      <c r="F59" s="451">
        <f t="shared" si="11"/>
        <v>6</v>
      </c>
      <c r="G59" s="451">
        <v>3</v>
      </c>
      <c r="H59" s="451">
        <v>3</v>
      </c>
      <c r="I59" s="452">
        <f t="shared" si="12"/>
        <v>2.0256583389601621E-3</v>
      </c>
      <c r="J59" s="452">
        <f t="shared" si="13"/>
        <v>2.2480329711502436E-3</v>
      </c>
      <c r="K59" s="451">
        <v>5</v>
      </c>
      <c r="L59" s="451">
        <v>1</v>
      </c>
      <c r="M59" s="451">
        <v>4</v>
      </c>
      <c r="N59" s="451">
        <v>2</v>
      </c>
      <c r="O59" s="451">
        <v>0</v>
      </c>
      <c r="P59" s="451">
        <v>0</v>
      </c>
      <c r="Q59" s="451" t="s">
        <v>117</v>
      </c>
      <c r="R59" s="451" t="s">
        <v>117</v>
      </c>
      <c r="S59" s="451" t="s">
        <v>117</v>
      </c>
      <c r="T59" s="451" t="s">
        <v>117</v>
      </c>
      <c r="U59" s="451" t="s">
        <v>117</v>
      </c>
      <c r="V59" s="451"/>
    </row>
    <row r="60" spans="1:22" x14ac:dyDescent="0.2">
      <c r="A60" s="218" t="s">
        <v>1435</v>
      </c>
      <c r="B60" s="459" t="s">
        <v>222</v>
      </c>
      <c r="C60" s="460" t="s">
        <v>68</v>
      </c>
      <c r="D60" s="450" t="s">
        <v>383</v>
      </c>
      <c r="E60" s="450" t="s">
        <v>407</v>
      </c>
      <c r="F60" s="451">
        <f t="shared" si="11"/>
        <v>5</v>
      </c>
      <c r="G60" s="451">
        <v>4</v>
      </c>
      <c r="H60" s="451">
        <v>1</v>
      </c>
      <c r="I60" s="452">
        <f t="shared" si="12"/>
        <v>1.688048615800135E-3</v>
      </c>
      <c r="J60" s="452">
        <f t="shared" si="13"/>
        <v>1.8733608092918695E-3</v>
      </c>
      <c r="K60" s="451">
        <v>5</v>
      </c>
      <c r="L60" s="451">
        <v>0</v>
      </c>
      <c r="M60" s="451">
        <v>4</v>
      </c>
      <c r="N60" s="451">
        <v>1</v>
      </c>
      <c r="O60" s="451">
        <v>0</v>
      </c>
      <c r="P60" s="451">
        <v>0</v>
      </c>
      <c r="Q60" s="451" t="s">
        <v>117</v>
      </c>
      <c r="R60" s="451" t="s">
        <v>117</v>
      </c>
      <c r="S60" s="451" t="s">
        <v>117</v>
      </c>
      <c r="T60" s="451" t="s">
        <v>117</v>
      </c>
      <c r="U60" s="451" t="s">
        <v>117</v>
      </c>
      <c r="V60" s="451"/>
    </row>
    <row r="61" spans="1:22" hidden="1" x14ac:dyDescent="0.2">
      <c r="A61" s="218"/>
      <c r="B61" s="459" t="s">
        <v>222</v>
      </c>
      <c r="C61" s="460" t="s">
        <v>68</v>
      </c>
      <c r="D61" s="450"/>
      <c r="E61" s="450"/>
      <c r="F61" s="451"/>
      <c r="G61" s="451"/>
      <c r="H61" s="451"/>
      <c r="I61" s="452">
        <f t="shared" si="12"/>
        <v>0</v>
      </c>
      <c r="J61" s="452">
        <f t="shared" si="13"/>
        <v>0</v>
      </c>
      <c r="K61" s="451"/>
      <c r="L61" s="451"/>
      <c r="M61" s="451"/>
      <c r="N61" s="451"/>
      <c r="O61" s="451"/>
      <c r="P61" s="451"/>
      <c r="Q61" s="451"/>
      <c r="R61" s="451"/>
      <c r="S61" s="451"/>
      <c r="T61" s="451"/>
      <c r="U61" s="451"/>
      <c r="V61" s="451"/>
    </row>
    <row r="62" spans="1:22" hidden="1" x14ac:dyDescent="0.2">
      <c r="A62" s="218"/>
      <c r="B62" s="459" t="s">
        <v>222</v>
      </c>
      <c r="C62" s="460" t="s">
        <v>68</v>
      </c>
      <c r="D62" s="450"/>
      <c r="E62" s="450"/>
      <c r="F62" s="451"/>
      <c r="G62" s="451"/>
      <c r="H62" s="451"/>
      <c r="I62" s="452">
        <f t="shared" si="12"/>
        <v>0</v>
      </c>
      <c r="J62" s="452">
        <f t="shared" si="13"/>
        <v>0</v>
      </c>
      <c r="K62" s="451"/>
      <c r="L62" s="451"/>
      <c r="M62" s="451"/>
      <c r="N62" s="451"/>
      <c r="O62" s="451"/>
      <c r="P62" s="451"/>
      <c r="Q62" s="451"/>
      <c r="R62" s="451"/>
      <c r="S62" s="451"/>
      <c r="T62" s="451"/>
      <c r="U62" s="451"/>
      <c r="V62" s="451"/>
    </row>
    <row r="63" spans="1:22" hidden="1" x14ac:dyDescent="0.2">
      <c r="A63" s="218"/>
      <c r="B63" s="459" t="s">
        <v>222</v>
      </c>
      <c r="C63" s="460" t="s">
        <v>68</v>
      </c>
      <c r="D63" s="450"/>
      <c r="E63" s="450"/>
      <c r="F63" s="451"/>
      <c r="G63" s="451"/>
      <c r="H63" s="451"/>
      <c r="I63" s="452">
        <f t="shared" si="12"/>
        <v>0</v>
      </c>
      <c r="J63" s="452">
        <f t="shared" si="13"/>
        <v>0</v>
      </c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451"/>
      <c r="V63" s="451"/>
    </row>
    <row r="64" spans="1:22" x14ac:dyDescent="0.2">
      <c r="A64" s="651" t="s">
        <v>223</v>
      </c>
      <c r="B64" s="652"/>
      <c r="C64" s="652"/>
      <c r="D64" s="652"/>
      <c r="E64" s="477"/>
      <c r="F64" s="478">
        <f t="shared" ref="F64:V64" si="14">SUM(F44:F63)</f>
        <v>371</v>
      </c>
      <c r="G64" s="478">
        <f t="shared" si="14"/>
        <v>225</v>
      </c>
      <c r="H64" s="478">
        <f t="shared" si="14"/>
        <v>146</v>
      </c>
      <c r="I64" s="479">
        <f t="shared" si="14"/>
        <v>0.12525320729237005</v>
      </c>
      <c r="J64" s="479">
        <f t="shared" si="14"/>
        <v>0.13900337204945673</v>
      </c>
      <c r="K64" s="478">
        <f t="shared" si="14"/>
        <v>289</v>
      </c>
      <c r="L64" s="478">
        <f t="shared" si="14"/>
        <v>82</v>
      </c>
      <c r="M64" s="478">
        <f t="shared" si="14"/>
        <v>103</v>
      </c>
      <c r="N64" s="478">
        <f t="shared" si="14"/>
        <v>87</v>
      </c>
      <c r="O64" s="478">
        <f t="shared" si="14"/>
        <v>67</v>
      </c>
      <c r="P64" s="478">
        <f t="shared" si="14"/>
        <v>114</v>
      </c>
      <c r="Q64" s="478">
        <f t="shared" si="14"/>
        <v>0</v>
      </c>
      <c r="R64" s="478">
        <f t="shared" si="14"/>
        <v>0</v>
      </c>
      <c r="S64" s="478">
        <f t="shared" si="14"/>
        <v>0</v>
      </c>
      <c r="T64" s="478">
        <f t="shared" si="14"/>
        <v>0</v>
      </c>
      <c r="U64" s="478">
        <f t="shared" si="14"/>
        <v>0</v>
      </c>
      <c r="V64" s="478">
        <f t="shared" si="14"/>
        <v>0</v>
      </c>
    </row>
    <row r="65" spans="1:22" ht="3.6" customHeight="1" x14ac:dyDescent="0.25">
      <c r="A65" s="458"/>
      <c r="B65" s="458"/>
      <c r="C65" s="458"/>
      <c r="D65" s="458"/>
      <c r="E65" s="458"/>
      <c r="F65" s="458"/>
      <c r="G65" s="458"/>
      <c r="H65" s="458"/>
      <c r="I65" s="458"/>
      <c r="J65" s="458"/>
      <c r="K65" s="458"/>
      <c r="L65" s="458"/>
      <c r="M65" s="458"/>
      <c r="N65" s="458"/>
      <c r="O65" s="458"/>
      <c r="P65" s="458"/>
      <c r="Q65" s="458"/>
      <c r="R65" s="458"/>
      <c r="S65" s="458"/>
      <c r="T65" s="458"/>
      <c r="U65" s="458"/>
      <c r="V65" s="458"/>
    </row>
    <row r="66" spans="1:22" ht="15" customHeight="1" x14ac:dyDescent="0.2">
      <c r="A66" s="218" t="s">
        <v>1435</v>
      </c>
      <c r="B66" s="459" t="s">
        <v>222</v>
      </c>
      <c r="C66" s="460" t="s">
        <v>67</v>
      </c>
      <c r="D66" s="450" t="s">
        <v>375</v>
      </c>
      <c r="E66" s="450" t="s">
        <v>407</v>
      </c>
      <c r="F66" s="451">
        <f t="shared" ref="F66:F68" si="15">G66+H66</f>
        <v>37</v>
      </c>
      <c r="G66" s="451">
        <v>27</v>
      </c>
      <c r="H66" s="451">
        <v>10</v>
      </c>
      <c r="I66" s="452">
        <f>F66/$F$148</f>
        <v>1.2491559756920999E-2</v>
      </c>
      <c r="J66" s="452">
        <f>F66/$F$147</f>
        <v>0.12627986348122866</v>
      </c>
      <c r="K66" s="451">
        <v>10</v>
      </c>
      <c r="L66" s="451">
        <v>27</v>
      </c>
      <c r="M66" s="451" t="s">
        <v>117</v>
      </c>
      <c r="N66" s="451" t="s">
        <v>117</v>
      </c>
      <c r="O66" s="451" t="s">
        <v>117</v>
      </c>
      <c r="P66" s="451" t="s">
        <v>117</v>
      </c>
      <c r="Q66" s="451" t="s">
        <v>117</v>
      </c>
      <c r="R66" s="451" t="s">
        <v>117</v>
      </c>
      <c r="S66" s="451"/>
      <c r="T66" s="451">
        <v>37</v>
      </c>
      <c r="U66" s="451">
        <v>0</v>
      </c>
      <c r="V66" s="451"/>
    </row>
    <row r="67" spans="1:22" ht="15" customHeight="1" x14ac:dyDescent="0.2">
      <c r="A67" s="218" t="s">
        <v>1435</v>
      </c>
      <c r="B67" s="459" t="s">
        <v>222</v>
      </c>
      <c r="C67" s="460" t="s">
        <v>67</v>
      </c>
      <c r="D67" s="450" t="s">
        <v>406</v>
      </c>
      <c r="E67" s="450" t="s">
        <v>407</v>
      </c>
      <c r="F67" s="451">
        <f t="shared" si="15"/>
        <v>15</v>
      </c>
      <c r="G67" s="451">
        <v>9</v>
      </c>
      <c r="H67" s="451">
        <v>6</v>
      </c>
      <c r="I67" s="452">
        <f>F67/$F$148</f>
        <v>5.064145847400405E-3</v>
      </c>
      <c r="J67" s="452">
        <f>F67/$F$147</f>
        <v>5.1194539249146756E-2</v>
      </c>
      <c r="K67" s="451">
        <v>3</v>
      </c>
      <c r="L67" s="451">
        <v>12</v>
      </c>
      <c r="M67" s="451" t="s">
        <v>117</v>
      </c>
      <c r="N67" s="451" t="s">
        <v>117</v>
      </c>
      <c r="O67" s="451" t="s">
        <v>117</v>
      </c>
      <c r="P67" s="451" t="s">
        <v>117</v>
      </c>
      <c r="Q67" s="451" t="s">
        <v>117</v>
      </c>
      <c r="R67" s="451" t="s">
        <v>117</v>
      </c>
      <c r="S67" s="451"/>
      <c r="T67" s="451">
        <v>15</v>
      </c>
      <c r="U67" s="451">
        <v>0</v>
      </c>
      <c r="V67" s="451"/>
    </row>
    <row r="68" spans="1:22" ht="21.6" customHeight="1" x14ac:dyDescent="0.2">
      <c r="A68" s="218" t="s">
        <v>1435</v>
      </c>
      <c r="B68" s="459" t="s">
        <v>222</v>
      </c>
      <c r="C68" s="460" t="s">
        <v>67</v>
      </c>
      <c r="D68" s="218" t="s">
        <v>386</v>
      </c>
      <c r="E68" s="450" t="s">
        <v>407</v>
      </c>
      <c r="F68" s="451">
        <f t="shared" si="15"/>
        <v>11</v>
      </c>
      <c r="G68" s="451">
        <v>2</v>
      </c>
      <c r="H68" s="451">
        <v>9</v>
      </c>
      <c r="I68" s="452">
        <f>F68/$F$148</f>
        <v>3.7137069547602971E-3</v>
      </c>
      <c r="J68" s="452">
        <f>F68/$F$147</f>
        <v>3.7542662116040959E-2</v>
      </c>
      <c r="K68" s="451">
        <v>2</v>
      </c>
      <c r="L68" s="451">
        <v>9</v>
      </c>
      <c r="M68" s="451" t="s">
        <v>117</v>
      </c>
      <c r="N68" s="451" t="s">
        <v>117</v>
      </c>
      <c r="O68" s="451" t="s">
        <v>117</v>
      </c>
      <c r="P68" s="451" t="s">
        <v>117</v>
      </c>
      <c r="Q68" s="451" t="s">
        <v>117</v>
      </c>
      <c r="R68" s="451" t="s">
        <v>117</v>
      </c>
      <c r="S68" s="451"/>
      <c r="T68" s="451">
        <v>11</v>
      </c>
      <c r="U68" s="451">
        <v>0</v>
      </c>
      <c r="V68" s="451"/>
    </row>
    <row r="69" spans="1:22" x14ac:dyDescent="0.2">
      <c r="A69" s="630" t="s">
        <v>224</v>
      </c>
      <c r="B69" s="631"/>
      <c r="C69" s="631"/>
      <c r="D69" s="631"/>
      <c r="E69" s="475"/>
      <c r="F69" s="453">
        <f t="shared" ref="F69:V69" si="16">SUM(F66:F68)</f>
        <v>63</v>
      </c>
      <c r="G69" s="453">
        <f t="shared" si="16"/>
        <v>38</v>
      </c>
      <c r="H69" s="453">
        <f t="shared" si="16"/>
        <v>25</v>
      </c>
      <c r="I69" s="454">
        <f>SUM(I66:I68)</f>
        <v>2.1269412559081699E-2</v>
      </c>
      <c r="J69" s="454">
        <f>SUM(J66:J68)</f>
        <v>0.21501706484641636</v>
      </c>
      <c r="K69" s="453">
        <f t="shared" si="16"/>
        <v>15</v>
      </c>
      <c r="L69" s="453">
        <f t="shared" si="16"/>
        <v>48</v>
      </c>
      <c r="M69" s="453">
        <f t="shared" si="16"/>
        <v>0</v>
      </c>
      <c r="N69" s="453">
        <f t="shared" si="16"/>
        <v>0</v>
      </c>
      <c r="O69" s="453">
        <f t="shared" si="16"/>
        <v>0</v>
      </c>
      <c r="P69" s="453">
        <f t="shared" si="16"/>
        <v>0</v>
      </c>
      <c r="Q69" s="453">
        <f t="shared" si="16"/>
        <v>0</v>
      </c>
      <c r="R69" s="453">
        <f t="shared" si="16"/>
        <v>0</v>
      </c>
      <c r="S69" s="453">
        <f t="shared" si="16"/>
        <v>0</v>
      </c>
      <c r="T69" s="453">
        <f t="shared" si="16"/>
        <v>63</v>
      </c>
      <c r="U69" s="453">
        <f t="shared" si="16"/>
        <v>0</v>
      </c>
      <c r="V69" s="453">
        <f t="shared" si="16"/>
        <v>0</v>
      </c>
    </row>
    <row r="70" spans="1:22" x14ac:dyDescent="0.2">
      <c r="A70" s="628" t="s">
        <v>225</v>
      </c>
      <c r="B70" s="629"/>
      <c r="C70" s="629"/>
      <c r="D70" s="629"/>
      <c r="E70" s="476"/>
      <c r="F70" s="455">
        <f>F64+F69</f>
        <v>434</v>
      </c>
      <c r="G70" s="455">
        <f>G64+G69</f>
        <v>263</v>
      </c>
      <c r="H70" s="455">
        <f>H64+H69</f>
        <v>171</v>
      </c>
      <c r="I70" s="456">
        <f>I64+I69</f>
        <v>0.14652261985145176</v>
      </c>
      <c r="J70" s="457"/>
      <c r="K70" s="455">
        <f t="shared" ref="K70:V70" si="17">K64+K69</f>
        <v>304</v>
      </c>
      <c r="L70" s="455">
        <f t="shared" si="17"/>
        <v>130</v>
      </c>
      <c r="M70" s="455">
        <f t="shared" si="17"/>
        <v>103</v>
      </c>
      <c r="N70" s="455">
        <f t="shared" si="17"/>
        <v>87</v>
      </c>
      <c r="O70" s="455">
        <f t="shared" si="17"/>
        <v>67</v>
      </c>
      <c r="P70" s="455">
        <f t="shared" si="17"/>
        <v>114</v>
      </c>
      <c r="Q70" s="455">
        <f t="shared" si="17"/>
        <v>0</v>
      </c>
      <c r="R70" s="455">
        <f t="shared" si="17"/>
        <v>0</v>
      </c>
      <c r="S70" s="455">
        <f t="shared" si="17"/>
        <v>0</v>
      </c>
      <c r="T70" s="455">
        <f t="shared" si="17"/>
        <v>63</v>
      </c>
      <c r="U70" s="455">
        <f t="shared" si="17"/>
        <v>0</v>
      </c>
      <c r="V70" s="455">
        <f t="shared" si="17"/>
        <v>0</v>
      </c>
    </row>
    <row r="71" spans="1:22" ht="3" customHeight="1" x14ac:dyDescent="0.25">
      <c r="A71" s="458"/>
      <c r="B71" s="458"/>
      <c r="C71" s="458"/>
      <c r="D71" s="458"/>
      <c r="E71" s="458"/>
      <c r="F71" s="458"/>
      <c r="G71" s="458"/>
      <c r="H71" s="458"/>
      <c r="I71" s="458"/>
      <c r="J71" s="458"/>
      <c r="K71" s="458"/>
      <c r="L71" s="458"/>
      <c r="M71" s="458"/>
      <c r="N71" s="458"/>
      <c r="O71" s="458"/>
      <c r="P71" s="458"/>
      <c r="Q71" s="458"/>
      <c r="R71" s="458"/>
      <c r="S71" s="458"/>
      <c r="T71" s="458"/>
      <c r="U71" s="458"/>
      <c r="V71" s="458"/>
    </row>
    <row r="72" spans="1:22" x14ac:dyDescent="0.2">
      <c r="A72" s="218" t="s">
        <v>1435</v>
      </c>
      <c r="B72" s="459" t="s">
        <v>226</v>
      </c>
      <c r="C72" s="460" t="s">
        <v>68</v>
      </c>
      <c r="D72" s="450" t="s">
        <v>1436</v>
      </c>
      <c r="E72" s="451" t="s">
        <v>407</v>
      </c>
      <c r="F72" s="451">
        <f t="shared" ref="F72" si="18">G72+H72</f>
        <v>5</v>
      </c>
      <c r="G72" s="451">
        <v>3</v>
      </c>
      <c r="H72" s="451">
        <v>2</v>
      </c>
      <c r="I72" s="452">
        <f>F72/$F$148</f>
        <v>1.688048615800135E-3</v>
      </c>
      <c r="J72" s="452">
        <f>F72/$F$146</f>
        <v>1.8733608092918695E-3</v>
      </c>
      <c r="K72" s="451">
        <v>5</v>
      </c>
      <c r="L72" s="451">
        <v>0</v>
      </c>
      <c r="M72" s="451" t="s">
        <v>117</v>
      </c>
      <c r="N72" s="451" t="s">
        <v>117</v>
      </c>
      <c r="O72" s="451" t="s">
        <v>117</v>
      </c>
      <c r="P72" s="451" t="s">
        <v>117</v>
      </c>
      <c r="Q72" s="451" t="s">
        <v>117</v>
      </c>
      <c r="R72" s="451">
        <v>5</v>
      </c>
      <c r="S72" s="451"/>
      <c r="T72" s="451" t="s">
        <v>117</v>
      </c>
      <c r="U72" s="451" t="s">
        <v>117</v>
      </c>
      <c r="V72" s="451"/>
    </row>
    <row r="73" spans="1:22" x14ac:dyDescent="0.2">
      <c r="A73" s="218" t="s">
        <v>1435</v>
      </c>
      <c r="B73" s="459" t="s">
        <v>226</v>
      </c>
      <c r="C73" s="460" t="s">
        <v>68</v>
      </c>
      <c r="D73" s="450" t="s">
        <v>194</v>
      </c>
      <c r="E73" s="451" t="s">
        <v>407</v>
      </c>
      <c r="F73" s="451">
        <f t="shared" ref="F73:F74" si="19">G73+H73</f>
        <v>34</v>
      </c>
      <c r="G73" s="451">
        <v>16</v>
      </c>
      <c r="H73" s="451">
        <v>18</v>
      </c>
      <c r="I73" s="452">
        <f>F73/$F$148</f>
        <v>1.1478730587440918E-2</v>
      </c>
      <c r="J73" s="452">
        <f>F73/$F$146</f>
        <v>1.2738853503184714E-2</v>
      </c>
      <c r="K73" s="451">
        <v>8</v>
      </c>
      <c r="L73" s="451">
        <v>26</v>
      </c>
      <c r="M73" s="451" t="s">
        <v>117</v>
      </c>
      <c r="N73" s="451" t="s">
        <v>117</v>
      </c>
      <c r="O73" s="451" t="s">
        <v>117</v>
      </c>
      <c r="P73" s="451" t="s">
        <v>117</v>
      </c>
      <c r="Q73" s="451">
        <v>30</v>
      </c>
      <c r="R73" s="451">
        <v>4</v>
      </c>
      <c r="S73" s="451"/>
      <c r="T73" s="451" t="s">
        <v>117</v>
      </c>
      <c r="U73" s="451" t="s">
        <v>117</v>
      </c>
      <c r="V73" s="451"/>
    </row>
    <row r="74" spans="1:22" x14ac:dyDescent="0.2">
      <c r="A74" s="218" t="s">
        <v>1435</v>
      </c>
      <c r="B74" s="459" t="s">
        <v>226</v>
      </c>
      <c r="C74" s="460" t="s">
        <v>68</v>
      </c>
      <c r="D74" s="450" t="s">
        <v>388</v>
      </c>
      <c r="E74" s="451" t="s">
        <v>407</v>
      </c>
      <c r="F74" s="451">
        <f t="shared" si="19"/>
        <v>301</v>
      </c>
      <c r="G74" s="451">
        <v>130</v>
      </c>
      <c r="H74" s="451">
        <v>171</v>
      </c>
      <c r="I74" s="452">
        <f>F74/$F$148</f>
        <v>0.10162052667116812</v>
      </c>
      <c r="J74" s="452">
        <f>F74/$F$146</f>
        <v>0.11277632071937055</v>
      </c>
      <c r="K74" s="451">
        <v>242</v>
      </c>
      <c r="L74" s="451">
        <v>59</v>
      </c>
      <c r="M74" s="451">
        <v>222</v>
      </c>
      <c r="N74" s="451">
        <v>62</v>
      </c>
      <c r="O74" s="451">
        <v>11</v>
      </c>
      <c r="P74" s="451">
        <v>6</v>
      </c>
      <c r="Q74" s="451" t="s">
        <v>117</v>
      </c>
      <c r="R74" s="451" t="s">
        <v>117</v>
      </c>
      <c r="S74" s="451"/>
      <c r="T74" s="451" t="s">
        <v>117</v>
      </c>
      <c r="U74" s="451" t="s">
        <v>117</v>
      </c>
      <c r="V74" s="451"/>
    </row>
    <row r="75" spans="1:22" hidden="1" x14ac:dyDescent="0.2">
      <c r="A75" s="218"/>
      <c r="B75" s="459" t="s">
        <v>226</v>
      </c>
      <c r="C75" s="460" t="s">
        <v>68</v>
      </c>
      <c r="D75" s="450"/>
      <c r="E75" s="450"/>
      <c r="F75" s="451"/>
      <c r="G75" s="451"/>
      <c r="H75" s="451"/>
      <c r="I75" s="452">
        <f>F75/$F$148</f>
        <v>0</v>
      </c>
      <c r="J75" s="452">
        <f>F75/$F$146</f>
        <v>0</v>
      </c>
      <c r="K75" s="451"/>
      <c r="L75" s="451"/>
      <c r="M75" s="451"/>
      <c r="N75" s="451"/>
      <c r="O75" s="451"/>
      <c r="P75" s="451"/>
      <c r="Q75" s="451"/>
      <c r="R75" s="451"/>
      <c r="S75" s="451"/>
      <c r="T75" s="451"/>
      <c r="U75" s="451"/>
      <c r="V75" s="451"/>
    </row>
    <row r="76" spans="1:22" x14ac:dyDescent="0.2">
      <c r="A76" s="630" t="s">
        <v>227</v>
      </c>
      <c r="B76" s="631"/>
      <c r="C76" s="631"/>
      <c r="D76" s="631"/>
      <c r="E76" s="475"/>
      <c r="F76" s="453">
        <f>SUM(F72:F75)</f>
        <v>340</v>
      </c>
      <c r="G76" s="453">
        <f t="shared" ref="G76:H76" si="20">SUM(G72:G75)</f>
        <v>149</v>
      </c>
      <c r="H76" s="453">
        <f t="shared" si="20"/>
        <v>191</v>
      </c>
      <c r="I76" s="454">
        <f>SUM(I72:I75)</f>
        <v>0.11478730587440918</v>
      </c>
      <c r="J76" s="454">
        <f>SUM(J72:J75)</f>
        <v>0.12738853503184713</v>
      </c>
      <c r="K76" s="453">
        <f>SUM(K72:K75)</f>
        <v>255</v>
      </c>
      <c r="L76" s="453">
        <f t="shared" ref="L76:V76" si="21">SUM(L72:L75)</f>
        <v>85</v>
      </c>
      <c r="M76" s="453">
        <f t="shared" si="21"/>
        <v>222</v>
      </c>
      <c r="N76" s="453">
        <f t="shared" si="21"/>
        <v>62</v>
      </c>
      <c r="O76" s="453">
        <f t="shared" si="21"/>
        <v>11</v>
      </c>
      <c r="P76" s="453">
        <f t="shared" si="21"/>
        <v>6</v>
      </c>
      <c r="Q76" s="453">
        <f t="shared" si="21"/>
        <v>30</v>
      </c>
      <c r="R76" s="453">
        <f t="shared" si="21"/>
        <v>9</v>
      </c>
      <c r="S76" s="453">
        <f t="shared" si="21"/>
        <v>0</v>
      </c>
      <c r="T76" s="453">
        <f t="shared" si="21"/>
        <v>0</v>
      </c>
      <c r="U76" s="453">
        <f t="shared" si="21"/>
        <v>0</v>
      </c>
      <c r="V76" s="453">
        <f t="shared" si="21"/>
        <v>0</v>
      </c>
    </row>
    <row r="77" spans="1:22" x14ac:dyDescent="0.2">
      <c r="A77" s="628" t="s">
        <v>228</v>
      </c>
      <c r="B77" s="629"/>
      <c r="C77" s="629"/>
      <c r="D77" s="629"/>
      <c r="E77" s="476"/>
      <c r="F77" s="455">
        <f>F76</f>
        <v>340</v>
      </c>
      <c r="G77" s="455">
        <f>G76</f>
        <v>149</v>
      </c>
      <c r="H77" s="455">
        <f>H76</f>
        <v>191</v>
      </c>
      <c r="I77" s="456">
        <f>I76</f>
        <v>0.11478730587440918</v>
      </c>
      <c r="J77" s="457"/>
      <c r="K77" s="455">
        <f>K76</f>
        <v>255</v>
      </c>
      <c r="L77" s="455">
        <f t="shared" ref="L77:V77" si="22">L76</f>
        <v>85</v>
      </c>
      <c r="M77" s="455">
        <f t="shared" si="22"/>
        <v>222</v>
      </c>
      <c r="N77" s="455">
        <f t="shared" si="22"/>
        <v>62</v>
      </c>
      <c r="O77" s="455">
        <f t="shared" si="22"/>
        <v>11</v>
      </c>
      <c r="P77" s="455">
        <f t="shared" si="22"/>
        <v>6</v>
      </c>
      <c r="Q77" s="455">
        <f t="shared" si="22"/>
        <v>30</v>
      </c>
      <c r="R77" s="455">
        <f t="shared" si="22"/>
        <v>9</v>
      </c>
      <c r="S77" s="455">
        <f t="shared" si="22"/>
        <v>0</v>
      </c>
      <c r="T77" s="455">
        <f t="shared" si="22"/>
        <v>0</v>
      </c>
      <c r="U77" s="455">
        <f t="shared" si="22"/>
        <v>0</v>
      </c>
      <c r="V77" s="455">
        <f t="shared" si="22"/>
        <v>0</v>
      </c>
    </row>
    <row r="78" spans="1:22" ht="3" customHeight="1" x14ac:dyDescent="0.25">
      <c r="A78" s="458"/>
      <c r="B78" s="458"/>
      <c r="C78" s="458"/>
      <c r="D78" s="458"/>
      <c r="E78" s="458"/>
      <c r="F78" s="458"/>
      <c r="G78" s="458"/>
      <c r="H78" s="458"/>
      <c r="I78" s="458"/>
      <c r="J78" s="458"/>
      <c r="K78" s="458"/>
      <c r="L78" s="458"/>
      <c r="M78" s="458"/>
      <c r="N78" s="458"/>
      <c r="O78" s="458"/>
      <c r="P78" s="458"/>
      <c r="Q78" s="458"/>
      <c r="R78" s="458"/>
      <c r="S78" s="458"/>
      <c r="T78" s="458"/>
      <c r="U78" s="458"/>
      <c r="V78" s="458"/>
    </row>
    <row r="79" spans="1:22" ht="12.6" customHeight="1" x14ac:dyDescent="0.2">
      <c r="A79" s="218" t="s">
        <v>1435</v>
      </c>
      <c r="B79" s="218" t="s">
        <v>229</v>
      </c>
      <c r="C79" s="449" t="s">
        <v>68</v>
      </c>
      <c r="D79" s="450" t="s">
        <v>389</v>
      </c>
      <c r="E79" s="450" t="s">
        <v>407</v>
      </c>
      <c r="F79" s="451">
        <f t="shared" ref="F79" si="23">G79+H79</f>
        <v>161</v>
      </c>
      <c r="G79" s="451">
        <v>99</v>
      </c>
      <c r="H79" s="451">
        <v>62</v>
      </c>
      <c r="I79" s="452">
        <f t="shared" ref="I79" si="24">F79/$F$148</f>
        <v>5.4355165428764347E-2</v>
      </c>
      <c r="J79" s="452">
        <f t="shared" ref="J79" si="25">F79/$F$146</f>
        <v>6.0322218059198199E-2</v>
      </c>
      <c r="K79" s="451">
        <v>126</v>
      </c>
      <c r="L79" s="451">
        <v>35</v>
      </c>
      <c r="M79" s="451">
        <v>41</v>
      </c>
      <c r="N79" s="451">
        <v>31</v>
      </c>
      <c r="O79" s="451">
        <v>26</v>
      </c>
      <c r="P79" s="451">
        <v>63</v>
      </c>
      <c r="Q79" s="451" t="s">
        <v>117</v>
      </c>
      <c r="R79" s="451" t="s">
        <v>117</v>
      </c>
      <c r="S79" s="451" t="s">
        <v>117</v>
      </c>
      <c r="T79" s="451" t="s">
        <v>117</v>
      </c>
      <c r="U79" s="451" t="s">
        <v>117</v>
      </c>
      <c r="V79" s="451"/>
    </row>
    <row r="80" spans="1:22" ht="12.6" customHeight="1" x14ac:dyDescent="0.2">
      <c r="A80" s="218" t="s">
        <v>1435</v>
      </c>
      <c r="B80" s="218" t="s">
        <v>229</v>
      </c>
      <c r="C80" s="449" t="s">
        <v>68</v>
      </c>
      <c r="D80" s="450" t="s">
        <v>393</v>
      </c>
      <c r="E80" s="450" t="s">
        <v>407</v>
      </c>
      <c r="F80" s="451">
        <f t="shared" ref="F80:F91" si="26">G80+H80</f>
        <v>315</v>
      </c>
      <c r="G80" s="451">
        <v>187</v>
      </c>
      <c r="H80" s="451">
        <v>128</v>
      </c>
      <c r="I80" s="452">
        <f t="shared" ref="I80:I91" si="27">F80/$F$148</f>
        <v>0.10634706279540851</v>
      </c>
      <c r="J80" s="452">
        <f t="shared" ref="J80:J91" si="28">F80/$F$146</f>
        <v>0.11802173098538779</v>
      </c>
      <c r="K80" s="451">
        <v>0</v>
      </c>
      <c r="L80" s="451">
        <v>4</v>
      </c>
      <c r="M80" s="451">
        <v>0</v>
      </c>
      <c r="N80" s="451">
        <v>0</v>
      </c>
      <c r="O80" s="451">
        <v>0</v>
      </c>
      <c r="P80" s="451">
        <v>4</v>
      </c>
      <c r="Q80" s="451" t="s">
        <v>117</v>
      </c>
      <c r="R80" s="451" t="s">
        <v>117</v>
      </c>
      <c r="S80" s="451" t="s">
        <v>117</v>
      </c>
      <c r="T80" s="451" t="s">
        <v>117</v>
      </c>
      <c r="U80" s="451" t="s">
        <v>117</v>
      </c>
      <c r="V80" s="451"/>
    </row>
    <row r="81" spans="1:22" ht="12.6" customHeight="1" x14ac:dyDescent="0.2">
      <c r="A81" s="218" t="s">
        <v>1435</v>
      </c>
      <c r="B81" s="218" t="s">
        <v>229</v>
      </c>
      <c r="C81" s="449" t="s">
        <v>68</v>
      </c>
      <c r="D81" s="450" t="s">
        <v>393</v>
      </c>
      <c r="E81" s="450" t="s">
        <v>432</v>
      </c>
      <c r="F81" s="451">
        <f t="shared" si="26"/>
        <v>4</v>
      </c>
      <c r="G81" s="451">
        <v>1</v>
      </c>
      <c r="H81" s="451">
        <v>3</v>
      </c>
      <c r="I81" s="452">
        <f t="shared" si="27"/>
        <v>1.3504388926401081E-3</v>
      </c>
      <c r="J81" s="452">
        <f t="shared" si="28"/>
        <v>1.4986886474334957E-3</v>
      </c>
      <c r="K81" s="451">
        <v>8</v>
      </c>
      <c r="L81" s="451">
        <v>5</v>
      </c>
      <c r="M81" s="451">
        <v>0</v>
      </c>
      <c r="N81" s="451">
        <v>0</v>
      </c>
      <c r="O81" s="451">
        <v>0</v>
      </c>
      <c r="P81" s="451">
        <v>13</v>
      </c>
      <c r="Q81" s="451" t="s">
        <v>117</v>
      </c>
      <c r="R81" s="451" t="s">
        <v>117</v>
      </c>
      <c r="S81" s="451" t="s">
        <v>117</v>
      </c>
      <c r="T81" s="451" t="s">
        <v>117</v>
      </c>
      <c r="U81" s="451" t="s">
        <v>117</v>
      </c>
      <c r="V81" s="451"/>
    </row>
    <row r="82" spans="1:22" ht="12.6" customHeight="1" x14ac:dyDescent="0.2">
      <c r="A82" s="218" t="s">
        <v>1435</v>
      </c>
      <c r="B82" s="218" t="s">
        <v>229</v>
      </c>
      <c r="C82" s="449" t="s">
        <v>68</v>
      </c>
      <c r="D82" s="450" t="s">
        <v>393</v>
      </c>
      <c r="E82" s="450" t="s">
        <v>431</v>
      </c>
      <c r="F82" s="451">
        <f t="shared" si="26"/>
        <v>13</v>
      </c>
      <c r="G82" s="451">
        <v>5</v>
      </c>
      <c r="H82" s="451">
        <v>8</v>
      </c>
      <c r="I82" s="452">
        <f t="shared" si="27"/>
        <v>4.3889264010803508E-3</v>
      </c>
      <c r="J82" s="452">
        <f t="shared" si="28"/>
        <v>4.8707381041588607E-3</v>
      </c>
      <c r="K82" s="451">
        <v>0</v>
      </c>
      <c r="L82" s="451">
        <v>1</v>
      </c>
      <c r="M82" s="451">
        <v>0</v>
      </c>
      <c r="N82" s="451">
        <v>0</v>
      </c>
      <c r="O82" s="451">
        <v>0</v>
      </c>
      <c r="P82" s="451">
        <v>1</v>
      </c>
      <c r="Q82" s="451" t="s">
        <v>117</v>
      </c>
      <c r="R82" s="451" t="s">
        <v>117</v>
      </c>
      <c r="S82" s="451" t="s">
        <v>117</v>
      </c>
      <c r="T82" s="451" t="s">
        <v>117</v>
      </c>
      <c r="U82" s="451" t="s">
        <v>117</v>
      </c>
      <c r="V82" s="451"/>
    </row>
    <row r="83" spans="1:22" ht="12.6" customHeight="1" x14ac:dyDescent="0.2">
      <c r="A83" s="218" t="s">
        <v>1435</v>
      </c>
      <c r="B83" s="218" t="s">
        <v>229</v>
      </c>
      <c r="C83" s="449" t="s">
        <v>68</v>
      </c>
      <c r="D83" s="450" t="s">
        <v>393</v>
      </c>
      <c r="E83" s="450" t="s">
        <v>659</v>
      </c>
      <c r="F83" s="451">
        <f t="shared" si="26"/>
        <v>1</v>
      </c>
      <c r="G83" s="451">
        <v>1</v>
      </c>
      <c r="H83" s="451">
        <v>0</v>
      </c>
      <c r="I83" s="452">
        <f t="shared" si="27"/>
        <v>3.3760972316002703E-4</v>
      </c>
      <c r="J83" s="452">
        <f t="shared" si="28"/>
        <v>3.7467216185837392E-4</v>
      </c>
      <c r="K83" s="451">
        <v>2</v>
      </c>
      <c r="L83" s="451">
        <v>2</v>
      </c>
      <c r="M83" s="451">
        <v>0</v>
      </c>
      <c r="N83" s="451">
        <v>0</v>
      </c>
      <c r="O83" s="451">
        <v>0</v>
      </c>
      <c r="P83" s="451">
        <v>4</v>
      </c>
      <c r="Q83" s="451" t="s">
        <v>117</v>
      </c>
      <c r="R83" s="451" t="s">
        <v>117</v>
      </c>
      <c r="S83" s="451" t="s">
        <v>117</v>
      </c>
      <c r="T83" s="451" t="s">
        <v>117</v>
      </c>
      <c r="U83" s="451" t="s">
        <v>117</v>
      </c>
      <c r="V83" s="451"/>
    </row>
    <row r="84" spans="1:22" ht="12.6" customHeight="1" x14ac:dyDescent="0.2">
      <c r="A84" s="218" t="s">
        <v>1435</v>
      </c>
      <c r="B84" s="218" t="s">
        <v>229</v>
      </c>
      <c r="C84" s="449" t="s">
        <v>68</v>
      </c>
      <c r="D84" s="450" t="s">
        <v>393</v>
      </c>
      <c r="E84" s="450" t="s">
        <v>660</v>
      </c>
      <c r="F84" s="451">
        <f t="shared" si="26"/>
        <v>4</v>
      </c>
      <c r="G84" s="451">
        <v>3</v>
      </c>
      <c r="H84" s="451">
        <v>1</v>
      </c>
      <c r="I84" s="452">
        <f t="shared" si="27"/>
        <v>1.3504388926401081E-3</v>
      </c>
      <c r="J84" s="452">
        <f t="shared" si="28"/>
        <v>1.4986886474334957E-3</v>
      </c>
      <c r="K84" s="451">
        <v>2</v>
      </c>
      <c r="L84" s="451">
        <v>2</v>
      </c>
      <c r="M84" s="451">
        <v>0</v>
      </c>
      <c r="N84" s="451">
        <v>0</v>
      </c>
      <c r="O84" s="451">
        <v>0</v>
      </c>
      <c r="P84" s="451">
        <v>4</v>
      </c>
      <c r="Q84" s="451" t="s">
        <v>117</v>
      </c>
      <c r="R84" s="451" t="s">
        <v>117</v>
      </c>
      <c r="S84" s="451" t="s">
        <v>117</v>
      </c>
      <c r="T84" s="451" t="s">
        <v>117</v>
      </c>
      <c r="U84" s="451" t="s">
        <v>117</v>
      </c>
      <c r="V84" s="451"/>
    </row>
    <row r="85" spans="1:22" ht="12.6" customHeight="1" x14ac:dyDescent="0.2">
      <c r="A85" s="218" t="s">
        <v>1435</v>
      </c>
      <c r="B85" s="218" t="s">
        <v>229</v>
      </c>
      <c r="C85" s="449" t="s">
        <v>68</v>
      </c>
      <c r="D85" s="450" t="s">
        <v>393</v>
      </c>
      <c r="E85" s="450" t="s">
        <v>433</v>
      </c>
      <c r="F85" s="451">
        <f t="shared" si="26"/>
        <v>4</v>
      </c>
      <c r="G85" s="451">
        <v>1</v>
      </c>
      <c r="H85" s="451">
        <v>3</v>
      </c>
      <c r="I85" s="452">
        <f t="shared" si="27"/>
        <v>1.3504388926401081E-3</v>
      </c>
      <c r="J85" s="452">
        <f t="shared" si="28"/>
        <v>1.4986886474334957E-3</v>
      </c>
      <c r="K85" s="451">
        <v>2</v>
      </c>
      <c r="L85" s="451">
        <v>2</v>
      </c>
      <c r="M85" s="451">
        <v>0</v>
      </c>
      <c r="N85" s="451">
        <v>1</v>
      </c>
      <c r="O85" s="451">
        <v>1</v>
      </c>
      <c r="P85" s="451">
        <v>2</v>
      </c>
      <c r="Q85" s="451" t="s">
        <v>117</v>
      </c>
      <c r="R85" s="451" t="s">
        <v>117</v>
      </c>
      <c r="S85" s="451" t="s">
        <v>117</v>
      </c>
      <c r="T85" s="451" t="s">
        <v>117</v>
      </c>
      <c r="U85" s="451" t="s">
        <v>117</v>
      </c>
      <c r="V85" s="451"/>
    </row>
    <row r="86" spans="1:22" ht="12.6" customHeight="1" x14ac:dyDescent="0.2">
      <c r="A86" s="218" t="s">
        <v>1435</v>
      </c>
      <c r="B86" s="218" t="s">
        <v>229</v>
      </c>
      <c r="C86" s="449" t="s">
        <v>68</v>
      </c>
      <c r="D86" s="450" t="s">
        <v>393</v>
      </c>
      <c r="E86" s="450" t="s">
        <v>434</v>
      </c>
      <c r="F86" s="451">
        <f t="shared" si="26"/>
        <v>4</v>
      </c>
      <c r="G86" s="451">
        <v>2</v>
      </c>
      <c r="H86" s="451">
        <v>2</v>
      </c>
      <c r="I86" s="452">
        <f t="shared" si="27"/>
        <v>1.3504388926401081E-3</v>
      </c>
      <c r="J86" s="452">
        <f t="shared" si="28"/>
        <v>1.4986886474334957E-3</v>
      </c>
      <c r="K86" s="451">
        <v>258</v>
      </c>
      <c r="L86" s="451">
        <v>57</v>
      </c>
      <c r="M86" s="451">
        <v>97</v>
      </c>
      <c r="N86" s="451">
        <v>53</v>
      </c>
      <c r="O86" s="451">
        <v>76</v>
      </c>
      <c r="P86" s="451">
        <v>89</v>
      </c>
      <c r="Q86" s="451" t="s">
        <v>117</v>
      </c>
      <c r="R86" s="451" t="s">
        <v>117</v>
      </c>
      <c r="S86" s="451" t="s">
        <v>117</v>
      </c>
      <c r="T86" s="451" t="s">
        <v>117</v>
      </c>
      <c r="U86" s="451" t="s">
        <v>117</v>
      </c>
      <c r="V86" s="451"/>
    </row>
    <row r="87" spans="1:22" ht="12.6" customHeight="1" x14ac:dyDescent="0.2">
      <c r="A87" s="218" t="s">
        <v>1435</v>
      </c>
      <c r="B87" s="218" t="s">
        <v>229</v>
      </c>
      <c r="C87" s="449" t="s">
        <v>68</v>
      </c>
      <c r="D87" s="450" t="s">
        <v>393</v>
      </c>
      <c r="E87" s="450" t="s">
        <v>661</v>
      </c>
      <c r="F87" s="451">
        <f t="shared" si="26"/>
        <v>3</v>
      </c>
      <c r="G87" s="451">
        <v>3</v>
      </c>
      <c r="H87" s="451">
        <v>0</v>
      </c>
      <c r="I87" s="452">
        <f t="shared" si="27"/>
        <v>1.012829169480081E-3</v>
      </c>
      <c r="J87" s="452">
        <f t="shared" si="28"/>
        <v>1.1240164855751218E-3</v>
      </c>
      <c r="K87" s="451">
        <v>3</v>
      </c>
      <c r="L87" s="451">
        <v>0</v>
      </c>
      <c r="M87" s="451">
        <v>2</v>
      </c>
      <c r="N87" s="451">
        <v>1</v>
      </c>
      <c r="O87" s="451">
        <v>0</v>
      </c>
      <c r="P87" s="451">
        <v>0</v>
      </c>
      <c r="Q87" s="451" t="s">
        <v>117</v>
      </c>
      <c r="R87" s="451" t="s">
        <v>117</v>
      </c>
      <c r="S87" s="451" t="s">
        <v>117</v>
      </c>
      <c r="T87" s="451" t="s">
        <v>117</v>
      </c>
      <c r="U87" s="451" t="s">
        <v>117</v>
      </c>
      <c r="V87" s="451"/>
    </row>
    <row r="88" spans="1:22" ht="12.6" customHeight="1" x14ac:dyDescent="0.2">
      <c r="A88" s="218" t="s">
        <v>1435</v>
      </c>
      <c r="B88" s="218" t="s">
        <v>229</v>
      </c>
      <c r="C88" s="449" t="s">
        <v>68</v>
      </c>
      <c r="D88" s="450" t="s">
        <v>390</v>
      </c>
      <c r="E88" s="450" t="s">
        <v>407</v>
      </c>
      <c r="F88" s="451">
        <f t="shared" si="26"/>
        <v>145</v>
      </c>
      <c r="G88" s="451">
        <v>65</v>
      </c>
      <c r="H88" s="451">
        <v>80</v>
      </c>
      <c r="I88" s="452">
        <f t="shared" si="27"/>
        <v>4.8953409858203914E-2</v>
      </c>
      <c r="J88" s="452">
        <f t="shared" si="28"/>
        <v>5.4327463469464217E-2</v>
      </c>
      <c r="K88" s="451">
        <v>114</v>
      </c>
      <c r="L88" s="451">
        <v>31</v>
      </c>
      <c r="M88" s="451">
        <v>48</v>
      </c>
      <c r="N88" s="451">
        <v>27</v>
      </c>
      <c r="O88" s="451">
        <v>39</v>
      </c>
      <c r="P88" s="451">
        <v>31</v>
      </c>
      <c r="Q88" s="451" t="s">
        <v>117</v>
      </c>
      <c r="R88" s="451" t="s">
        <v>117</v>
      </c>
      <c r="S88" s="451" t="s">
        <v>117</v>
      </c>
      <c r="T88" s="451" t="s">
        <v>117</v>
      </c>
      <c r="U88" s="451" t="s">
        <v>117</v>
      </c>
      <c r="V88" s="451"/>
    </row>
    <row r="89" spans="1:22" ht="12.6" customHeight="1" x14ac:dyDescent="0.2">
      <c r="A89" s="218" t="s">
        <v>1435</v>
      </c>
      <c r="B89" s="218" t="s">
        <v>229</v>
      </c>
      <c r="C89" s="449" t="s">
        <v>68</v>
      </c>
      <c r="D89" s="450" t="s">
        <v>391</v>
      </c>
      <c r="E89" s="450" t="s">
        <v>407</v>
      </c>
      <c r="F89" s="451">
        <f t="shared" si="26"/>
        <v>4</v>
      </c>
      <c r="G89" s="451">
        <v>3</v>
      </c>
      <c r="H89" s="451">
        <v>1</v>
      </c>
      <c r="I89" s="452">
        <f t="shared" si="27"/>
        <v>1.3504388926401081E-3</v>
      </c>
      <c r="J89" s="452">
        <f t="shared" si="28"/>
        <v>1.4986886474334957E-3</v>
      </c>
      <c r="K89" s="451">
        <v>4</v>
      </c>
      <c r="L89" s="451">
        <v>0</v>
      </c>
      <c r="M89" s="451">
        <v>1</v>
      </c>
      <c r="N89" s="451">
        <v>1</v>
      </c>
      <c r="O89" s="451">
        <v>0</v>
      </c>
      <c r="P89" s="451">
        <v>2</v>
      </c>
      <c r="Q89" s="451" t="s">
        <v>117</v>
      </c>
      <c r="R89" s="451" t="s">
        <v>117</v>
      </c>
      <c r="S89" s="451" t="s">
        <v>117</v>
      </c>
      <c r="T89" s="451" t="s">
        <v>117</v>
      </c>
      <c r="U89" s="451" t="s">
        <v>117</v>
      </c>
      <c r="V89" s="451"/>
    </row>
    <row r="90" spans="1:22" ht="12.6" customHeight="1" x14ac:dyDescent="0.2">
      <c r="A90" s="218" t="s">
        <v>1435</v>
      </c>
      <c r="B90" s="218" t="s">
        <v>229</v>
      </c>
      <c r="C90" s="449" t="s">
        <v>68</v>
      </c>
      <c r="D90" s="450" t="s">
        <v>1437</v>
      </c>
      <c r="E90" s="450" t="s">
        <v>407</v>
      </c>
      <c r="F90" s="451">
        <f t="shared" si="26"/>
        <v>6</v>
      </c>
      <c r="G90" s="451">
        <v>3</v>
      </c>
      <c r="H90" s="451">
        <v>3</v>
      </c>
      <c r="I90" s="452">
        <f t="shared" si="27"/>
        <v>2.0256583389601621E-3</v>
      </c>
      <c r="J90" s="452">
        <f t="shared" si="28"/>
        <v>2.2480329711502436E-3</v>
      </c>
      <c r="K90" s="451">
        <v>2</v>
      </c>
      <c r="L90" s="451">
        <v>4</v>
      </c>
      <c r="M90" s="451" t="s">
        <v>117</v>
      </c>
      <c r="N90" s="451" t="s">
        <v>117</v>
      </c>
      <c r="O90" s="451" t="s">
        <v>117</v>
      </c>
      <c r="P90" s="451" t="s">
        <v>117</v>
      </c>
      <c r="Q90" s="451">
        <v>6</v>
      </c>
      <c r="R90" s="451" t="s">
        <v>117</v>
      </c>
      <c r="S90" s="451" t="s">
        <v>117</v>
      </c>
      <c r="T90" s="451" t="s">
        <v>117</v>
      </c>
      <c r="U90" s="451" t="s">
        <v>117</v>
      </c>
      <c r="V90" s="451"/>
    </row>
    <row r="91" spans="1:22" ht="12.6" customHeight="1" x14ac:dyDescent="0.2">
      <c r="A91" s="218" t="s">
        <v>1435</v>
      </c>
      <c r="B91" s="218" t="s">
        <v>229</v>
      </c>
      <c r="C91" s="449" t="s">
        <v>68</v>
      </c>
      <c r="D91" s="450" t="s">
        <v>394</v>
      </c>
      <c r="E91" s="450" t="s">
        <v>407</v>
      </c>
      <c r="F91" s="451">
        <f t="shared" si="26"/>
        <v>58</v>
      </c>
      <c r="G91" s="451">
        <v>35</v>
      </c>
      <c r="H91" s="451">
        <v>23</v>
      </c>
      <c r="I91" s="452">
        <f t="shared" si="27"/>
        <v>1.9581363943281565E-2</v>
      </c>
      <c r="J91" s="452">
        <f t="shared" si="28"/>
        <v>2.1730985387785687E-2</v>
      </c>
      <c r="K91" s="451">
        <v>41</v>
      </c>
      <c r="L91" s="451">
        <v>17</v>
      </c>
      <c r="M91" s="451">
        <v>7</v>
      </c>
      <c r="N91" s="451">
        <v>10</v>
      </c>
      <c r="O91" s="451">
        <v>15</v>
      </c>
      <c r="P91" s="451">
        <v>26</v>
      </c>
      <c r="Q91" s="451" t="s">
        <v>117</v>
      </c>
      <c r="R91" s="451" t="s">
        <v>117</v>
      </c>
      <c r="S91" s="451" t="s">
        <v>117</v>
      </c>
      <c r="T91" s="451" t="s">
        <v>117</v>
      </c>
      <c r="U91" s="451" t="s">
        <v>117</v>
      </c>
      <c r="V91" s="451"/>
    </row>
    <row r="92" spans="1:22" ht="12.6" hidden="1" customHeight="1" x14ac:dyDescent="0.2">
      <c r="A92" s="218"/>
      <c r="B92" s="218"/>
      <c r="C92" s="449"/>
      <c r="D92" s="450"/>
      <c r="E92" s="450"/>
      <c r="F92" s="451"/>
      <c r="G92" s="451"/>
      <c r="H92" s="451"/>
      <c r="I92" s="452"/>
      <c r="J92" s="452"/>
      <c r="K92" s="451"/>
      <c r="L92" s="451"/>
      <c r="M92" s="451"/>
      <c r="N92" s="451"/>
      <c r="O92" s="451"/>
      <c r="P92" s="451"/>
      <c r="Q92" s="451"/>
      <c r="R92" s="451"/>
      <c r="S92" s="451"/>
      <c r="T92" s="451"/>
      <c r="U92" s="451"/>
      <c r="V92" s="451"/>
    </row>
    <row r="93" spans="1:22" ht="12.6" hidden="1" customHeight="1" x14ac:dyDescent="0.2">
      <c r="A93" s="218"/>
      <c r="B93" s="218"/>
      <c r="C93" s="449"/>
      <c r="D93" s="450"/>
      <c r="E93" s="450"/>
      <c r="F93" s="451"/>
      <c r="G93" s="451"/>
      <c r="H93" s="451"/>
      <c r="I93" s="452"/>
      <c r="J93" s="452"/>
      <c r="K93" s="451"/>
      <c r="L93" s="451"/>
      <c r="M93" s="451"/>
      <c r="N93" s="451"/>
      <c r="O93" s="451"/>
      <c r="P93" s="451"/>
      <c r="Q93" s="451"/>
      <c r="R93" s="451"/>
      <c r="S93" s="451"/>
      <c r="T93" s="451"/>
      <c r="U93" s="451"/>
      <c r="V93" s="451"/>
    </row>
    <row r="94" spans="1:22" x14ac:dyDescent="0.2">
      <c r="A94" s="617" t="s">
        <v>230</v>
      </c>
      <c r="B94" s="618"/>
      <c r="C94" s="618"/>
      <c r="D94" s="618"/>
      <c r="E94" s="477"/>
      <c r="F94" s="478">
        <f t="shared" ref="F94:V94" si="29">SUM(F79:F93)</f>
        <v>722</v>
      </c>
      <c r="G94" s="478">
        <f t="shared" si="29"/>
        <v>408</v>
      </c>
      <c r="H94" s="478">
        <f t="shared" si="29"/>
        <v>314</v>
      </c>
      <c r="I94" s="479">
        <f t="shared" si="29"/>
        <v>0.24375422012153949</v>
      </c>
      <c r="J94" s="479">
        <f t="shared" si="29"/>
        <v>0.27051330086174596</v>
      </c>
      <c r="K94" s="478">
        <f t="shared" si="29"/>
        <v>562</v>
      </c>
      <c r="L94" s="478">
        <f t="shared" si="29"/>
        <v>160</v>
      </c>
      <c r="M94" s="478">
        <f t="shared" si="29"/>
        <v>196</v>
      </c>
      <c r="N94" s="478">
        <f t="shared" si="29"/>
        <v>124</v>
      </c>
      <c r="O94" s="478">
        <f t="shared" si="29"/>
        <v>157</v>
      </c>
      <c r="P94" s="478">
        <f t="shared" si="29"/>
        <v>239</v>
      </c>
      <c r="Q94" s="478">
        <f t="shared" si="29"/>
        <v>6</v>
      </c>
      <c r="R94" s="478">
        <f t="shared" si="29"/>
        <v>0</v>
      </c>
      <c r="S94" s="478">
        <f t="shared" si="29"/>
        <v>0</v>
      </c>
      <c r="T94" s="478">
        <f t="shared" si="29"/>
        <v>0</v>
      </c>
      <c r="U94" s="478">
        <f t="shared" si="29"/>
        <v>0</v>
      </c>
      <c r="V94" s="478">
        <f t="shared" si="29"/>
        <v>0</v>
      </c>
    </row>
    <row r="95" spans="1:22" s="569" customFormat="1" ht="3.75" customHeight="1" x14ac:dyDescent="0.2">
      <c r="A95" s="571"/>
      <c r="B95" s="572"/>
      <c r="C95" s="572"/>
      <c r="D95" s="572"/>
      <c r="E95" s="565"/>
      <c r="F95" s="566"/>
      <c r="G95" s="567"/>
      <c r="H95" s="567"/>
      <c r="I95" s="568"/>
      <c r="J95" s="568"/>
      <c r="K95" s="567"/>
      <c r="L95" s="567"/>
      <c r="M95" s="567"/>
      <c r="N95" s="567"/>
      <c r="O95" s="567"/>
      <c r="P95" s="567"/>
      <c r="Q95" s="567"/>
      <c r="R95" s="567"/>
      <c r="S95" s="567"/>
      <c r="T95" s="567"/>
      <c r="U95" s="567"/>
      <c r="V95" s="567"/>
    </row>
    <row r="96" spans="1:22" x14ac:dyDescent="0.2">
      <c r="A96" s="573" t="s">
        <v>1435</v>
      </c>
      <c r="B96" s="574" t="s">
        <v>229</v>
      </c>
      <c r="C96" s="575" t="s">
        <v>67</v>
      </c>
      <c r="D96" s="576" t="s">
        <v>662</v>
      </c>
      <c r="E96" s="520" t="s">
        <v>407</v>
      </c>
      <c r="F96" s="520">
        <f t="shared" ref="F96:F97" si="30">G96+H96</f>
        <v>9</v>
      </c>
      <c r="G96" s="520">
        <v>6</v>
      </c>
      <c r="H96" s="520">
        <v>3</v>
      </c>
      <c r="I96" s="521">
        <f>F96/$F$148</f>
        <v>3.0384875084402429E-3</v>
      </c>
      <c r="J96" s="521">
        <f>F96/$F$147</f>
        <v>3.0716723549488054E-2</v>
      </c>
      <c r="K96" s="520">
        <v>9</v>
      </c>
      <c r="L96" s="520">
        <v>0</v>
      </c>
      <c r="M96" s="520" t="s">
        <v>117</v>
      </c>
      <c r="N96" s="520" t="s">
        <v>117</v>
      </c>
      <c r="O96" s="520" t="s">
        <v>117</v>
      </c>
      <c r="P96" s="520" t="s">
        <v>117</v>
      </c>
      <c r="Q96" s="520" t="s">
        <v>117</v>
      </c>
      <c r="R96" s="520" t="s">
        <v>117</v>
      </c>
      <c r="S96" s="520"/>
      <c r="T96" s="520">
        <v>9</v>
      </c>
      <c r="U96" s="520">
        <v>0</v>
      </c>
      <c r="V96" s="570"/>
    </row>
    <row r="97" spans="1:22" x14ac:dyDescent="0.2">
      <c r="A97" s="577" t="s">
        <v>1435</v>
      </c>
      <c r="B97" s="578" t="s">
        <v>229</v>
      </c>
      <c r="C97" s="579" t="s">
        <v>67</v>
      </c>
      <c r="D97" s="580" t="s">
        <v>394</v>
      </c>
      <c r="E97" s="480"/>
      <c r="F97" s="480">
        <f t="shared" si="30"/>
        <v>44</v>
      </c>
      <c r="G97" s="480">
        <v>22</v>
      </c>
      <c r="H97" s="480">
        <v>22</v>
      </c>
      <c r="I97" s="481">
        <f>F97/$F$148</f>
        <v>1.4854827819041188E-2</v>
      </c>
      <c r="J97" s="481">
        <f>F97/$F$147</f>
        <v>0.15017064846416384</v>
      </c>
      <c r="K97" s="480">
        <v>25</v>
      </c>
      <c r="L97" s="480">
        <v>19</v>
      </c>
      <c r="M97" s="480" t="s">
        <v>117</v>
      </c>
      <c r="N97" s="480" t="s">
        <v>117</v>
      </c>
      <c r="O97" s="480" t="s">
        <v>117</v>
      </c>
      <c r="P97" s="480" t="s">
        <v>117</v>
      </c>
      <c r="Q97" s="480" t="s">
        <v>117</v>
      </c>
      <c r="R97" s="480" t="s">
        <v>117</v>
      </c>
      <c r="S97" s="480"/>
      <c r="T97" s="480">
        <v>43</v>
      </c>
      <c r="U97" s="480">
        <v>1</v>
      </c>
      <c r="V97" s="451"/>
    </row>
    <row r="98" spans="1:22" x14ac:dyDescent="0.2">
      <c r="A98" s="656" t="s">
        <v>231</v>
      </c>
      <c r="B98" s="657"/>
      <c r="C98" s="657"/>
      <c r="D98" s="657"/>
      <c r="E98" s="475"/>
      <c r="F98" s="453">
        <f>SUM(F96:F97)</f>
        <v>53</v>
      </c>
      <c r="G98" s="453">
        <f>SUM(G96:G97)</f>
        <v>28</v>
      </c>
      <c r="H98" s="453">
        <f>SUM(H96:H97)</f>
        <v>25</v>
      </c>
      <c r="I98" s="454">
        <f>SUM(I96:I97)</f>
        <v>1.7893315327481431E-2</v>
      </c>
      <c r="J98" s="454">
        <f>SUM(J96:J97)</f>
        <v>0.1808873720136519</v>
      </c>
      <c r="K98" s="453">
        <f t="shared" ref="K98:V98" si="31">SUM(K96:K97)</f>
        <v>34</v>
      </c>
      <c r="L98" s="453">
        <f t="shared" si="31"/>
        <v>19</v>
      </c>
      <c r="M98" s="453">
        <f t="shared" si="31"/>
        <v>0</v>
      </c>
      <c r="N98" s="453">
        <f t="shared" si="31"/>
        <v>0</v>
      </c>
      <c r="O98" s="453">
        <f t="shared" si="31"/>
        <v>0</v>
      </c>
      <c r="P98" s="453">
        <f t="shared" si="31"/>
        <v>0</v>
      </c>
      <c r="Q98" s="453">
        <f t="shared" si="31"/>
        <v>0</v>
      </c>
      <c r="R98" s="453">
        <f t="shared" si="31"/>
        <v>0</v>
      </c>
      <c r="S98" s="453">
        <f t="shared" si="31"/>
        <v>0</v>
      </c>
      <c r="T98" s="453">
        <f t="shared" si="31"/>
        <v>52</v>
      </c>
      <c r="U98" s="453">
        <f t="shared" si="31"/>
        <v>1</v>
      </c>
      <c r="V98" s="453">
        <f t="shared" si="31"/>
        <v>0</v>
      </c>
    </row>
    <row r="99" spans="1:22" x14ac:dyDescent="0.2">
      <c r="A99" s="628" t="s">
        <v>232</v>
      </c>
      <c r="B99" s="629"/>
      <c r="C99" s="629"/>
      <c r="D99" s="629"/>
      <c r="E99" s="476"/>
      <c r="F99" s="455">
        <f>F94+F98</f>
        <v>775</v>
      </c>
      <c r="G99" s="455">
        <f t="shared" ref="G99:V99" si="32">G94+G98</f>
        <v>436</v>
      </c>
      <c r="H99" s="455">
        <f t="shared" si="32"/>
        <v>339</v>
      </c>
      <c r="I99" s="456">
        <f>I94+I98</f>
        <v>0.26164753544902092</v>
      </c>
      <c r="J99" s="457"/>
      <c r="K99" s="455">
        <f t="shared" si="32"/>
        <v>596</v>
      </c>
      <c r="L99" s="455">
        <f t="shared" si="32"/>
        <v>179</v>
      </c>
      <c r="M99" s="455">
        <f t="shared" si="32"/>
        <v>196</v>
      </c>
      <c r="N99" s="455">
        <f t="shared" si="32"/>
        <v>124</v>
      </c>
      <c r="O99" s="455">
        <f t="shared" si="32"/>
        <v>157</v>
      </c>
      <c r="P99" s="455">
        <f t="shared" si="32"/>
        <v>239</v>
      </c>
      <c r="Q99" s="455">
        <f t="shared" si="32"/>
        <v>6</v>
      </c>
      <c r="R99" s="455">
        <f t="shared" si="32"/>
        <v>0</v>
      </c>
      <c r="S99" s="455">
        <f t="shared" si="32"/>
        <v>0</v>
      </c>
      <c r="T99" s="455">
        <f t="shared" si="32"/>
        <v>52</v>
      </c>
      <c r="U99" s="455">
        <f t="shared" si="32"/>
        <v>1</v>
      </c>
      <c r="V99" s="455">
        <f t="shared" si="32"/>
        <v>0</v>
      </c>
    </row>
    <row r="100" spans="1:22" ht="3" customHeight="1" x14ac:dyDescent="0.25">
      <c r="A100" s="458"/>
      <c r="B100" s="458"/>
      <c r="C100" s="458"/>
      <c r="D100" s="458"/>
      <c r="E100" s="458"/>
      <c r="F100" s="458"/>
      <c r="G100" s="458"/>
      <c r="H100" s="458"/>
      <c r="I100" s="458"/>
      <c r="J100" s="458"/>
      <c r="K100" s="458"/>
      <c r="L100" s="458"/>
      <c r="M100" s="458"/>
      <c r="N100" s="458"/>
      <c r="O100" s="458"/>
      <c r="P100" s="458"/>
      <c r="Q100" s="458"/>
      <c r="R100" s="458"/>
      <c r="S100" s="458"/>
      <c r="T100" s="458"/>
      <c r="U100" s="458"/>
      <c r="V100" s="458"/>
    </row>
    <row r="101" spans="1:22" ht="13.15" customHeight="1" x14ac:dyDescent="0.2">
      <c r="A101" s="218" t="s">
        <v>1435</v>
      </c>
      <c r="B101" s="459" t="s">
        <v>276</v>
      </c>
      <c r="C101" s="449" t="s">
        <v>68</v>
      </c>
      <c r="D101" s="450" t="s">
        <v>340</v>
      </c>
      <c r="E101" s="450" t="s">
        <v>407</v>
      </c>
      <c r="F101" s="451">
        <f t="shared" ref="F101" si="33">G101+H101</f>
        <v>170</v>
      </c>
      <c r="G101" s="451">
        <v>34</v>
      </c>
      <c r="H101" s="451">
        <v>136</v>
      </c>
      <c r="I101" s="452">
        <f>F101/$F$148</f>
        <v>5.7393652937204588E-2</v>
      </c>
      <c r="J101" s="452">
        <f>F101/$F$146</f>
        <v>6.3694267515923567E-2</v>
      </c>
      <c r="K101" s="451">
        <v>135</v>
      </c>
      <c r="L101" s="451">
        <v>35</v>
      </c>
      <c r="M101" s="451">
        <v>65</v>
      </c>
      <c r="N101" s="451">
        <v>30</v>
      </c>
      <c r="O101" s="451">
        <v>42</v>
      </c>
      <c r="P101" s="451">
        <v>33</v>
      </c>
      <c r="Q101" s="451" t="s">
        <v>117</v>
      </c>
      <c r="R101" s="451" t="s">
        <v>117</v>
      </c>
      <c r="S101" s="451"/>
      <c r="T101" s="451" t="s">
        <v>117</v>
      </c>
      <c r="U101" s="451" t="s">
        <v>117</v>
      </c>
      <c r="V101" s="451"/>
    </row>
    <row r="102" spans="1:22" hidden="1" x14ac:dyDescent="0.2">
      <c r="A102" s="218"/>
      <c r="B102" s="459" t="s">
        <v>276</v>
      </c>
      <c r="C102" s="449" t="s">
        <v>68</v>
      </c>
      <c r="D102" s="450"/>
      <c r="E102" s="450"/>
      <c r="F102" s="451"/>
      <c r="G102" s="451"/>
      <c r="H102" s="451"/>
      <c r="I102" s="452">
        <f>F102/$F$148</f>
        <v>0</v>
      </c>
      <c r="J102" s="452">
        <f>F102/$F$146</f>
        <v>0</v>
      </c>
      <c r="K102" s="451"/>
      <c r="L102" s="451"/>
      <c r="M102" s="451"/>
      <c r="N102" s="451"/>
      <c r="O102" s="451"/>
      <c r="P102" s="451"/>
      <c r="Q102" s="451"/>
      <c r="R102" s="451"/>
      <c r="S102" s="451"/>
      <c r="T102" s="451"/>
      <c r="U102" s="451"/>
      <c r="V102" s="451"/>
    </row>
    <row r="103" spans="1:22" x14ac:dyDescent="0.2">
      <c r="A103" s="630" t="s">
        <v>294</v>
      </c>
      <c r="B103" s="631"/>
      <c r="C103" s="631"/>
      <c r="D103" s="631"/>
      <c r="E103" s="475"/>
      <c r="F103" s="453">
        <f>SUM(F101:F102)</f>
        <v>170</v>
      </c>
      <c r="G103" s="453">
        <f t="shared" ref="G103:H103" si="34">SUM(G101:G102)</f>
        <v>34</v>
      </c>
      <c r="H103" s="453">
        <f t="shared" si="34"/>
        <v>136</v>
      </c>
      <c r="I103" s="454">
        <f>SUM(I101:I102)</f>
        <v>5.7393652937204588E-2</v>
      </c>
      <c r="J103" s="454">
        <f>SUM(J101:J102)</f>
        <v>6.3694267515923567E-2</v>
      </c>
      <c r="K103" s="453">
        <f>SUM(K101:K102)</f>
        <v>135</v>
      </c>
      <c r="L103" s="453">
        <f t="shared" ref="L103" si="35">SUM(L101:L102)</f>
        <v>35</v>
      </c>
      <c r="M103" s="453">
        <f t="shared" ref="M103" si="36">SUM(M101:M102)</f>
        <v>65</v>
      </c>
      <c r="N103" s="453">
        <f>SUM(N101:N102)</f>
        <v>30</v>
      </c>
      <c r="O103" s="453">
        <f t="shared" ref="O103" si="37">SUM(O101:O102)</f>
        <v>42</v>
      </c>
      <c r="P103" s="453">
        <f t="shared" ref="P103:Q103" si="38">SUM(P101:P102)</f>
        <v>33</v>
      </c>
      <c r="Q103" s="453">
        <f t="shared" si="38"/>
        <v>0</v>
      </c>
      <c r="R103" s="453">
        <f t="shared" ref="R103" si="39">SUM(R101:R102)</f>
        <v>0</v>
      </c>
      <c r="S103" s="453">
        <f t="shared" ref="S103:T103" si="40">SUM(S101:S102)</f>
        <v>0</v>
      </c>
      <c r="T103" s="453">
        <f t="shared" si="40"/>
        <v>0</v>
      </c>
      <c r="U103" s="453">
        <f t="shared" ref="U103" si="41">SUM(U101:U102)</f>
        <v>0</v>
      </c>
      <c r="V103" s="453">
        <f t="shared" ref="V103" si="42">V102</f>
        <v>0</v>
      </c>
    </row>
    <row r="104" spans="1:22" x14ac:dyDescent="0.2">
      <c r="A104" s="628" t="s">
        <v>295</v>
      </c>
      <c r="B104" s="629"/>
      <c r="C104" s="629"/>
      <c r="D104" s="629"/>
      <c r="E104" s="476"/>
      <c r="F104" s="455">
        <f>F103</f>
        <v>170</v>
      </c>
      <c r="G104" s="455">
        <f t="shared" ref="G104:V104" si="43">G103</f>
        <v>34</v>
      </c>
      <c r="H104" s="455">
        <f t="shared" si="43"/>
        <v>136</v>
      </c>
      <c r="I104" s="456">
        <f>I103</f>
        <v>5.7393652937204588E-2</v>
      </c>
      <c r="J104" s="457"/>
      <c r="K104" s="455">
        <f t="shared" si="43"/>
        <v>135</v>
      </c>
      <c r="L104" s="455">
        <f t="shared" si="43"/>
        <v>35</v>
      </c>
      <c r="M104" s="455">
        <f t="shared" si="43"/>
        <v>65</v>
      </c>
      <c r="N104" s="455">
        <f t="shared" si="43"/>
        <v>30</v>
      </c>
      <c r="O104" s="455">
        <f t="shared" si="43"/>
        <v>42</v>
      </c>
      <c r="P104" s="455">
        <f t="shared" si="43"/>
        <v>33</v>
      </c>
      <c r="Q104" s="455">
        <f t="shared" si="43"/>
        <v>0</v>
      </c>
      <c r="R104" s="455">
        <f t="shared" si="43"/>
        <v>0</v>
      </c>
      <c r="S104" s="455">
        <f t="shared" si="43"/>
        <v>0</v>
      </c>
      <c r="T104" s="455">
        <f t="shared" si="43"/>
        <v>0</v>
      </c>
      <c r="U104" s="455">
        <f t="shared" si="43"/>
        <v>0</v>
      </c>
      <c r="V104" s="455">
        <f t="shared" si="43"/>
        <v>0</v>
      </c>
    </row>
    <row r="105" spans="1:22" ht="3" customHeight="1" x14ac:dyDescent="0.25">
      <c r="A105" s="458"/>
      <c r="B105" s="458"/>
      <c r="C105" s="458"/>
      <c r="D105" s="458"/>
      <c r="E105" s="458"/>
      <c r="F105" s="458"/>
      <c r="G105" s="458"/>
      <c r="H105" s="458"/>
      <c r="I105" s="458"/>
      <c r="J105" s="458"/>
      <c r="K105" s="458"/>
      <c r="L105" s="458"/>
      <c r="M105" s="458"/>
      <c r="N105" s="458"/>
      <c r="O105" s="458"/>
      <c r="P105" s="458"/>
      <c r="Q105" s="458"/>
      <c r="R105" s="458"/>
      <c r="S105" s="458"/>
      <c r="T105" s="458"/>
      <c r="U105" s="458"/>
      <c r="V105" s="458"/>
    </row>
    <row r="106" spans="1:22" ht="30" customHeight="1" x14ac:dyDescent="0.25">
      <c r="A106" s="458"/>
      <c r="B106" s="458"/>
      <c r="C106" s="458"/>
      <c r="D106" s="458"/>
      <c r="E106" s="458"/>
      <c r="F106" s="458"/>
      <c r="G106" s="458"/>
      <c r="H106" s="458"/>
      <c r="I106" s="458"/>
      <c r="J106" s="458"/>
      <c r="K106" s="458"/>
      <c r="L106" s="458"/>
      <c r="M106" s="458"/>
      <c r="N106" s="458"/>
      <c r="O106" s="458"/>
      <c r="P106" s="458"/>
      <c r="Q106" s="458"/>
      <c r="R106" s="458"/>
      <c r="S106" s="458"/>
      <c r="T106" s="458"/>
      <c r="U106" s="458"/>
      <c r="V106" s="458"/>
    </row>
    <row r="107" spans="1:22" x14ac:dyDescent="0.2">
      <c r="A107" s="218" t="s">
        <v>1435</v>
      </c>
      <c r="B107" s="218" t="s">
        <v>233</v>
      </c>
      <c r="C107" s="449" t="s">
        <v>68</v>
      </c>
      <c r="D107" s="450" t="s">
        <v>395</v>
      </c>
      <c r="E107" s="450" t="s">
        <v>407</v>
      </c>
      <c r="F107" s="451">
        <f t="shared" ref="F107:F117" si="44">G107+H107</f>
        <v>117</v>
      </c>
      <c r="G107" s="451">
        <v>104</v>
      </c>
      <c r="H107" s="451">
        <v>13</v>
      </c>
      <c r="I107" s="452">
        <f t="shared" ref="I107:I117" si="45">F107/$F$148</f>
        <v>3.9500337609723157E-2</v>
      </c>
      <c r="J107" s="452">
        <f t="shared" ref="J107:J117" si="46">F107/$F$146</f>
        <v>4.3836642937429747E-2</v>
      </c>
      <c r="K107" s="451">
        <v>95</v>
      </c>
      <c r="L107" s="451">
        <v>22</v>
      </c>
      <c r="M107" s="451">
        <v>22</v>
      </c>
      <c r="N107" s="451">
        <v>23</v>
      </c>
      <c r="O107" s="451">
        <v>30</v>
      </c>
      <c r="P107" s="451">
        <v>42</v>
      </c>
      <c r="Q107" s="451" t="s">
        <v>117</v>
      </c>
      <c r="R107" s="451" t="s">
        <v>117</v>
      </c>
      <c r="S107" s="451" t="s">
        <v>117</v>
      </c>
      <c r="T107" s="451" t="s">
        <v>117</v>
      </c>
      <c r="U107" s="451" t="s">
        <v>117</v>
      </c>
      <c r="V107" s="451"/>
    </row>
    <row r="108" spans="1:22" x14ac:dyDescent="0.2">
      <c r="A108" s="218" t="s">
        <v>1435</v>
      </c>
      <c r="B108" s="218" t="s">
        <v>233</v>
      </c>
      <c r="C108" s="449" t="s">
        <v>68</v>
      </c>
      <c r="D108" s="450" t="s">
        <v>395</v>
      </c>
      <c r="E108" s="450" t="s">
        <v>435</v>
      </c>
      <c r="F108" s="451">
        <f t="shared" si="44"/>
        <v>2</v>
      </c>
      <c r="G108" s="451">
        <v>2</v>
      </c>
      <c r="H108" s="451">
        <v>0</v>
      </c>
      <c r="I108" s="452">
        <f t="shared" si="45"/>
        <v>6.7521944632005406E-4</v>
      </c>
      <c r="J108" s="452">
        <f t="shared" si="46"/>
        <v>7.4934432371674784E-4</v>
      </c>
      <c r="K108" s="451">
        <v>2</v>
      </c>
      <c r="L108" s="451">
        <v>0</v>
      </c>
      <c r="M108" s="451">
        <v>2</v>
      </c>
      <c r="N108" s="451">
        <v>0</v>
      </c>
      <c r="O108" s="451">
        <v>0</v>
      </c>
      <c r="P108" s="451">
        <v>0</v>
      </c>
      <c r="Q108" s="451" t="s">
        <v>117</v>
      </c>
      <c r="R108" s="451" t="s">
        <v>117</v>
      </c>
      <c r="S108" s="451" t="s">
        <v>117</v>
      </c>
      <c r="T108" s="451" t="s">
        <v>117</v>
      </c>
      <c r="U108" s="451" t="s">
        <v>117</v>
      </c>
      <c r="V108" s="451"/>
    </row>
    <row r="109" spans="1:22" x14ac:dyDescent="0.2">
      <c r="A109" s="218" t="s">
        <v>1435</v>
      </c>
      <c r="B109" s="218" t="s">
        <v>233</v>
      </c>
      <c r="C109" s="449" t="s">
        <v>68</v>
      </c>
      <c r="D109" s="450" t="s">
        <v>395</v>
      </c>
      <c r="E109" s="450" t="s">
        <v>1440</v>
      </c>
      <c r="F109" s="451">
        <f t="shared" si="44"/>
        <v>2</v>
      </c>
      <c r="G109" s="451">
        <v>2</v>
      </c>
      <c r="H109" s="451">
        <v>0</v>
      </c>
      <c r="I109" s="452">
        <f t="shared" si="45"/>
        <v>6.7521944632005406E-4</v>
      </c>
      <c r="J109" s="452">
        <f t="shared" si="46"/>
        <v>7.4934432371674784E-4</v>
      </c>
      <c r="K109" s="451">
        <v>0</v>
      </c>
      <c r="L109" s="451">
        <v>2</v>
      </c>
      <c r="M109" s="451">
        <v>0</v>
      </c>
      <c r="N109" s="451">
        <v>0</v>
      </c>
      <c r="O109" s="451">
        <v>1</v>
      </c>
      <c r="P109" s="451">
        <v>1</v>
      </c>
      <c r="Q109" s="451" t="s">
        <v>117</v>
      </c>
      <c r="R109" s="451" t="s">
        <v>117</v>
      </c>
      <c r="S109" s="451" t="s">
        <v>117</v>
      </c>
      <c r="T109" s="451" t="s">
        <v>117</v>
      </c>
      <c r="U109" s="451" t="s">
        <v>117</v>
      </c>
      <c r="V109" s="451"/>
    </row>
    <row r="110" spans="1:22" x14ac:dyDescent="0.2">
      <c r="A110" s="218" t="s">
        <v>1435</v>
      </c>
      <c r="B110" s="218" t="s">
        <v>233</v>
      </c>
      <c r="C110" s="449" t="s">
        <v>68</v>
      </c>
      <c r="D110" s="450" t="s">
        <v>396</v>
      </c>
      <c r="E110" s="450" t="s">
        <v>407</v>
      </c>
      <c r="F110" s="451">
        <f t="shared" si="44"/>
        <v>1</v>
      </c>
      <c r="G110" s="451">
        <v>0</v>
      </c>
      <c r="H110" s="451">
        <v>1</v>
      </c>
      <c r="I110" s="452">
        <f t="shared" si="45"/>
        <v>3.3760972316002703E-4</v>
      </c>
      <c r="J110" s="452">
        <f t="shared" si="46"/>
        <v>3.7467216185837392E-4</v>
      </c>
      <c r="K110" s="451">
        <v>0</v>
      </c>
      <c r="L110" s="451">
        <v>1</v>
      </c>
      <c r="M110" s="451">
        <v>0</v>
      </c>
      <c r="N110" s="451">
        <v>0</v>
      </c>
      <c r="O110" s="451">
        <v>0</v>
      </c>
      <c r="P110" s="451">
        <v>1</v>
      </c>
      <c r="Q110" s="451" t="s">
        <v>117</v>
      </c>
      <c r="R110" s="451" t="s">
        <v>117</v>
      </c>
      <c r="S110" s="451" t="s">
        <v>117</v>
      </c>
      <c r="T110" s="451" t="s">
        <v>117</v>
      </c>
      <c r="U110" s="451" t="s">
        <v>117</v>
      </c>
      <c r="V110" s="451"/>
    </row>
    <row r="111" spans="1:22" x14ac:dyDescent="0.2">
      <c r="A111" s="218" t="s">
        <v>1435</v>
      </c>
      <c r="B111" s="218" t="s">
        <v>233</v>
      </c>
      <c r="C111" s="449" t="s">
        <v>68</v>
      </c>
      <c r="D111" s="450" t="s">
        <v>397</v>
      </c>
      <c r="E111" s="450"/>
      <c r="F111" s="451">
        <f t="shared" si="44"/>
        <v>52</v>
      </c>
      <c r="G111" s="451">
        <v>28</v>
      </c>
      <c r="H111" s="451">
        <v>24</v>
      </c>
      <c r="I111" s="452">
        <f t="shared" si="45"/>
        <v>1.7555705604321403E-2</v>
      </c>
      <c r="J111" s="452">
        <f t="shared" si="46"/>
        <v>1.9482952416635443E-2</v>
      </c>
      <c r="K111" s="451">
        <v>36</v>
      </c>
      <c r="L111" s="451">
        <v>16</v>
      </c>
      <c r="M111" s="451">
        <v>14</v>
      </c>
      <c r="N111" s="451">
        <v>4</v>
      </c>
      <c r="O111" s="451">
        <v>15</v>
      </c>
      <c r="P111" s="451">
        <v>19</v>
      </c>
      <c r="Q111" s="451" t="s">
        <v>117</v>
      </c>
      <c r="R111" s="451" t="s">
        <v>117</v>
      </c>
      <c r="S111" s="451" t="s">
        <v>117</v>
      </c>
      <c r="T111" s="451" t="s">
        <v>117</v>
      </c>
      <c r="U111" s="451" t="s">
        <v>117</v>
      </c>
      <c r="V111" s="451"/>
    </row>
    <row r="112" spans="1:22" x14ac:dyDescent="0.2">
      <c r="A112" s="218" t="s">
        <v>1435</v>
      </c>
      <c r="B112" s="218" t="s">
        <v>233</v>
      </c>
      <c r="C112" s="449" t="s">
        <v>68</v>
      </c>
      <c r="D112" s="450" t="s">
        <v>397</v>
      </c>
      <c r="E112" s="450" t="s">
        <v>436</v>
      </c>
      <c r="F112" s="451">
        <f t="shared" si="44"/>
        <v>4</v>
      </c>
      <c r="G112" s="451">
        <v>2</v>
      </c>
      <c r="H112" s="451">
        <v>2</v>
      </c>
      <c r="I112" s="452">
        <f t="shared" si="45"/>
        <v>1.3504388926401081E-3</v>
      </c>
      <c r="J112" s="452">
        <f t="shared" si="46"/>
        <v>1.4986886474334957E-3</v>
      </c>
      <c r="K112" s="451">
        <v>2</v>
      </c>
      <c r="L112" s="451">
        <v>2</v>
      </c>
      <c r="M112" s="451">
        <v>0</v>
      </c>
      <c r="N112" s="451">
        <v>1</v>
      </c>
      <c r="O112" s="451">
        <v>0</v>
      </c>
      <c r="P112" s="451">
        <v>3</v>
      </c>
      <c r="Q112" s="451" t="s">
        <v>117</v>
      </c>
      <c r="R112" s="451" t="s">
        <v>117</v>
      </c>
      <c r="S112" s="451" t="s">
        <v>117</v>
      </c>
      <c r="T112" s="451" t="s">
        <v>117</v>
      </c>
      <c r="U112" s="451" t="s">
        <v>117</v>
      </c>
      <c r="V112" s="451"/>
    </row>
    <row r="113" spans="1:22" x14ac:dyDescent="0.2">
      <c r="A113" s="218" t="s">
        <v>1435</v>
      </c>
      <c r="B113" s="218" t="s">
        <v>233</v>
      </c>
      <c r="C113" s="449" t="s">
        <v>68</v>
      </c>
      <c r="D113" s="450" t="s">
        <v>397</v>
      </c>
      <c r="E113" s="450" t="s">
        <v>664</v>
      </c>
      <c r="F113" s="451">
        <f t="shared" si="44"/>
        <v>16</v>
      </c>
      <c r="G113" s="451">
        <v>9</v>
      </c>
      <c r="H113" s="451">
        <v>7</v>
      </c>
      <c r="I113" s="452">
        <f t="shared" si="45"/>
        <v>5.4017555705604325E-3</v>
      </c>
      <c r="J113" s="452">
        <f t="shared" si="46"/>
        <v>5.9947545897339827E-3</v>
      </c>
      <c r="K113" s="451">
        <v>14</v>
      </c>
      <c r="L113" s="451">
        <v>2</v>
      </c>
      <c r="M113" s="451">
        <v>2</v>
      </c>
      <c r="N113" s="451">
        <v>4</v>
      </c>
      <c r="O113" s="451">
        <v>5</v>
      </c>
      <c r="P113" s="451">
        <v>5</v>
      </c>
      <c r="Q113" s="451" t="s">
        <v>117</v>
      </c>
      <c r="R113" s="451" t="s">
        <v>117</v>
      </c>
      <c r="S113" s="451" t="s">
        <v>117</v>
      </c>
      <c r="T113" s="451" t="s">
        <v>117</v>
      </c>
      <c r="U113" s="451" t="s">
        <v>117</v>
      </c>
      <c r="V113" s="451"/>
    </row>
    <row r="114" spans="1:22" x14ac:dyDescent="0.2">
      <c r="A114" s="218" t="s">
        <v>1435</v>
      </c>
      <c r="B114" s="218" t="s">
        <v>233</v>
      </c>
      <c r="C114" s="449" t="s">
        <v>68</v>
      </c>
      <c r="D114" s="450" t="s">
        <v>397</v>
      </c>
      <c r="E114" s="450" t="s">
        <v>1441</v>
      </c>
      <c r="F114" s="451">
        <f t="shared" si="44"/>
        <v>1</v>
      </c>
      <c r="G114" s="451">
        <v>1</v>
      </c>
      <c r="H114" s="451">
        <v>0</v>
      </c>
      <c r="I114" s="452">
        <f t="shared" si="45"/>
        <v>3.3760972316002703E-4</v>
      </c>
      <c r="J114" s="452">
        <f t="shared" si="46"/>
        <v>3.7467216185837392E-4</v>
      </c>
      <c r="K114" s="451">
        <v>0</v>
      </c>
      <c r="L114" s="451">
        <v>1</v>
      </c>
      <c r="M114" s="451">
        <v>0</v>
      </c>
      <c r="N114" s="451">
        <v>0</v>
      </c>
      <c r="O114" s="451">
        <v>0</v>
      </c>
      <c r="P114" s="451">
        <v>1</v>
      </c>
      <c r="Q114" s="451" t="s">
        <v>117</v>
      </c>
      <c r="R114" s="451" t="s">
        <v>117</v>
      </c>
      <c r="S114" s="451" t="s">
        <v>117</v>
      </c>
      <c r="T114" s="451" t="s">
        <v>117</v>
      </c>
      <c r="U114" s="451" t="s">
        <v>117</v>
      </c>
      <c r="V114" s="451"/>
    </row>
    <row r="115" spans="1:22" x14ac:dyDescent="0.2">
      <c r="A115" s="218" t="s">
        <v>1435</v>
      </c>
      <c r="B115" s="218" t="s">
        <v>233</v>
      </c>
      <c r="C115" s="449" t="s">
        <v>68</v>
      </c>
      <c r="D115" s="450" t="s">
        <v>397</v>
      </c>
      <c r="E115" s="450" t="s">
        <v>415</v>
      </c>
      <c r="F115" s="451">
        <f t="shared" si="44"/>
        <v>1</v>
      </c>
      <c r="G115" s="451">
        <v>1</v>
      </c>
      <c r="H115" s="451">
        <v>0</v>
      </c>
      <c r="I115" s="452">
        <f t="shared" si="45"/>
        <v>3.3760972316002703E-4</v>
      </c>
      <c r="J115" s="452">
        <f t="shared" si="46"/>
        <v>3.7467216185837392E-4</v>
      </c>
      <c r="K115" s="451">
        <v>0</v>
      </c>
      <c r="L115" s="451">
        <v>1</v>
      </c>
      <c r="M115" s="451">
        <v>1</v>
      </c>
      <c r="N115" s="451">
        <v>0</v>
      </c>
      <c r="O115" s="451">
        <v>0</v>
      </c>
      <c r="P115" s="451">
        <v>0</v>
      </c>
      <c r="Q115" s="451" t="s">
        <v>117</v>
      </c>
      <c r="R115" s="451" t="s">
        <v>117</v>
      </c>
      <c r="S115" s="451" t="s">
        <v>117</v>
      </c>
      <c r="T115" s="451" t="s">
        <v>117</v>
      </c>
      <c r="U115" s="451" t="s">
        <v>117</v>
      </c>
      <c r="V115" s="451"/>
    </row>
    <row r="116" spans="1:22" x14ac:dyDescent="0.2">
      <c r="A116" s="218" t="s">
        <v>1435</v>
      </c>
      <c r="B116" s="218" t="s">
        <v>233</v>
      </c>
      <c r="C116" s="449" t="s">
        <v>68</v>
      </c>
      <c r="D116" s="450" t="s">
        <v>397</v>
      </c>
      <c r="E116" s="450" t="s">
        <v>437</v>
      </c>
      <c r="F116" s="451">
        <f t="shared" si="44"/>
        <v>12</v>
      </c>
      <c r="G116" s="451">
        <v>4</v>
      </c>
      <c r="H116" s="451">
        <v>8</v>
      </c>
      <c r="I116" s="452">
        <f t="shared" si="45"/>
        <v>4.0513166779203242E-3</v>
      </c>
      <c r="J116" s="452">
        <f t="shared" si="46"/>
        <v>4.4960659423004872E-3</v>
      </c>
      <c r="K116" s="451">
        <v>11</v>
      </c>
      <c r="L116" s="451">
        <v>1</v>
      </c>
      <c r="M116" s="451">
        <v>7</v>
      </c>
      <c r="N116" s="451">
        <v>3</v>
      </c>
      <c r="O116" s="451">
        <v>1</v>
      </c>
      <c r="P116" s="451">
        <v>1</v>
      </c>
      <c r="Q116" s="451" t="s">
        <v>117</v>
      </c>
      <c r="R116" s="451" t="s">
        <v>117</v>
      </c>
      <c r="S116" s="451" t="s">
        <v>117</v>
      </c>
      <c r="T116" s="451" t="s">
        <v>117</v>
      </c>
      <c r="U116" s="451" t="s">
        <v>117</v>
      </c>
      <c r="V116" s="451"/>
    </row>
    <row r="117" spans="1:22" x14ac:dyDescent="0.2">
      <c r="A117" s="218" t="s">
        <v>1435</v>
      </c>
      <c r="B117" s="218" t="s">
        <v>233</v>
      </c>
      <c r="C117" s="449" t="s">
        <v>68</v>
      </c>
      <c r="D117" s="450" t="s">
        <v>398</v>
      </c>
      <c r="E117" s="450"/>
      <c r="F117" s="451">
        <f t="shared" si="44"/>
        <v>10</v>
      </c>
      <c r="G117" s="451">
        <v>9</v>
      </c>
      <c r="H117" s="451">
        <v>1</v>
      </c>
      <c r="I117" s="452">
        <f t="shared" si="45"/>
        <v>3.37609723160027E-3</v>
      </c>
      <c r="J117" s="452">
        <f t="shared" si="46"/>
        <v>3.7467216185837391E-3</v>
      </c>
      <c r="K117" s="451">
        <v>8</v>
      </c>
      <c r="L117" s="451">
        <v>2</v>
      </c>
      <c r="M117" s="451">
        <v>5</v>
      </c>
      <c r="N117" s="451">
        <v>3</v>
      </c>
      <c r="O117" s="451">
        <v>0</v>
      </c>
      <c r="P117" s="451">
        <v>2</v>
      </c>
      <c r="Q117" s="451" t="s">
        <v>117</v>
      </c>
      <c r="R117" s="451" t="s">
        <v>117</v>
      </c>
      <c r="S117" s="451" t="s">
        <v>117</v>
      </c>
      <c r="T117" s="451" t="s">
        <v>117</v>
      </c>
      <c r="U117" s="451" t="s">
        <v>117</v>
      </c>
      <c r="V117" s="451"/>
    </row>
    <row r="118" spans="1:22" hidden="1" x14ac:dyDescent="0.2">
      <c r="A118" s="218"/>
      <c r="B118" s="218"/>
      <c r="C118" s="449"/>
      <c r="D118" s="450"/>
      <c r="E118" s="450"/>
      <c r="F118" s="451"/>
      <c r="G118" s="451"/>
      <c r="H118" s="451"/>
      <c r="I118" s="452"/>
      <c r="J118" s="452"/>
      <c r="K118" s="451"/>
      <c r="L118" s="451"/>
      <c r="M118" s="451"/>
      <c r="N118" s="451"/>
      <c r="O118" s="451"/>
      <c r="P118" s="451"/>
      <c r="Q118" s="451"/>
      <c r="R118" s="451"/>
      <c r="S118" s="451"/>
      <c r="T118" s="451"/>
      <c r="U118" s="451"/>
      <c r="V118" s="451"/>
    </row>
    <row r="119" spans="1:22" hidden="1" x14ac:dyDescent="0.2">
      <c r="A119" s="218"/>
      <c r="B119" s="218"/>
      <c r="C119" s="449"/>
      <c r="D119" s="450"/>
      <c r="E119" s="450"/>
      <c r="F119" s="451"/>
      <c r="G119" s="451"/>
      <c r="H119" s="451"/>
      <c r="I119" s="452"/>
      <c r="J119" s="452"/>
      <c r="K119" s="451"/>
      <c r="L119" s="451"/>
      <c r="M119" s="451"/>
      <c r="N119" s="451"/>
      <c r="O119" s="451"/>
      <c r="P119" s="451"/>
      <c r="Q119" s="451"/>
      <c r="R119" s="451"/>
      <c r="S119" s="451"/>
      <c r="T119" s="451"/>
      <c r="U119" s="451"/>
      <c r="V119" s="451"/>
    </row>
    <row r="120" spans="1:22" hidden="1" x14ac:dyDescent="0.2">
      <c r="A120" s="218"/>
      <c r="B120" s="218"/>
      <c r="C120" s="449"/>
      <c r="D120" s="450"/>
      <c r="E120" s="450"/>
      <c r="F120" s="451"/>
      <c r="G120" s="451"/>
      <c r="H120" s="451"/>
      <c r="I120" s="452"/>
      <c r="J120" s="452"/>
      <c r="K120" s="451"/>
      <c r="L120" s="451"/>
      <c r="M120" s="451"/>
      <c r="N120" s="451"/>
      <c r="O120" s="451"/>
      <c r="P120" s="451"/>
      <c r="Q120" s="451"/>
      <c r="R120" s="451"/>
      <c r="S120" s="451"/>
      <c r="T120" s="451"/>
      <c r="U120" s="451"/>
      <c r="V120" s="451"/>
    </row>
    <row r="121" spans="1:22" x14ac:dyDescent="0.2">
      <c r="A121" s="630" t="s">
        <v>234</v>
      </c>
      <c r="B121" s="631"/>
      <c r="C121" s="631"/>
      <c r="D121" s="631"/>
      <c r="E121" s="475"/>
      <c r="F121" s="453">
        <f t="shared" ref="F121:V121" si="47">SUM(F107:F120)</f>
        <v>218</v>
      </c>
      <c r="G121" s="453">
        <f t="shared" si="47"/>
        <v>162</v>
      </c>
      <c r="H121" s="453">
        <f t="shared" si="47"/>
        <v>56</v>
      </c>
      <c r="I121" s="454">
        <f t="shared" si="47"/>
        <v>7.3598919648885888E-2</v>
      </c>
      <c r="J121" s="454">
        <f t="shared" si="47"/>
        <v>8.1678531285125519E-2</v>
      </c>
      <c r="K121" s="453">
        <f t="shared" si="47"/>
        <v>168</v>
      </c>
      <c r="L121" s="453">
        <f t="shared" si="47"/>
        <v>50</v>
      </c>
      <c r="M121" s="453">
        <f t="shared" si="47"/>
        <v>53</v>
      </c>
      <c r="N121" s="453">
        <f t="shared" si="47"/>
        <v>38</v>
      </c>
      <c r="O121" s="453">
        <f t="shared" si="47"/>
        <v>52</v>
      </c>
      <c r="P121" s="453">
        <f t="shared" si="47"/>
        <v>75</v>
      </c>
      <c r="Q121" s="453">
        <f t="shared" si="47"/>
        <v>0</v>
      </c>
      <c r="R121" s="453">
        <f t="shared" si="47"/>
        <v>0</v>
      </c>
      <c r="S121" s="453">
        <f t="shared" si="47"/>
        <v>0</v>
      </c>
      <c r="T121" s="453">
        <f t="shared" si="47"/>
        <v>0</v>
      </c>
      <c r="U121" s="453">
        <f t="shared" si="47"/>
        <v>0</v>
      </c>
      <c r="V121" s="453">
        <f t="shared" si="47"/>
        <v>0</v>
      </c>
    </row>
    <row r="122" spans="1:22" x14ac:dyDescent="0.2">
      <c r="A122" s="218" t="s">
        <v>1435</v>
      </c>
      <c r="B122" s="482" t="s">
        <v>233</v>
      </c>
      <c r="C122" s="483" t="s">
        <v>67</v>
      </c>
      <c r="D122" s="450" t="s">
        <v>399</v>
      </c>
      <c r="E122" s="450" t="s">
        <v>407</v>
      </c>
      <c r="F122" s="451">
        <f t="shared" ref="F122:F128" si="48">G122+H122</f>
        <v>17</v>
      </c>
      <c r="G122" s="451">
        <v>10</v>
      </c>
      <c r="H122" s="451">
        <v>7</v>
      </c>
      <c r="I122" s="452">
        <f t="shared" ref="I122:I128" si="49">F122/$F$148</f>
        <v>5.7393652937204592E-3</v>
      </c>
      <c r="J122" s="452">
        <f t="shared" ref="J122:J128" si="50">F122/$F$147</f>
        <v>5.8020477815699661E-2</v>
      </c>
      <c r="K122" s="451">
        <v>2</v>
      </c>
      <c r="L122" s="451">
        <v>15</v>
      </c>
      <c r="M122" s="451" t="s">
        <v>117</v>
      </c>
      <c r="N122" s="451" t="s">
        <v>117</v>
      </c>
      <c r="O122" s="451" t="s">
        <v>117</v>
      </c>
      <c r="P122" s="451" t="s">
        <v>117</v>
      </c>
      <c r="Q122" s="451" t="s">
        <v>117</v>
      </c>
      <c r="R122" s="451" t="s">
        <v>117</v>
      </c>
      <c r="S122" s="451"/>
      <c r="T122" s="451">
        <v>13</v>
      </c>
      <c r="U122" s="451">
        <v>4</v>
      </c>
      <c r="V122" s="451"/>
    </row>
    <row r="123" spans="1:22" x14ac:dyDescent="0.2">
      <c r="A123" s="218" t="s">
        <v>1435</v>
      </c>
      <c r="B123" s="484" t="s">
        <v>233</v>
      </c>
      <c r="C123" s="485" t="s">
        <v>67</v>
      </c>
      <c r="D123" s="450" t="s">
        <v>400</v>
      </c>
      <c r="E123" s="450" t="s">
        <v>407</v>
      </c>
      <c r="F123" s="451">
        <f t="shared" si="48"/>
        <v>38</v>
      </c>
      <c r="G123" s="451">
        <v>32</v>
      </c>
      <c r="H123" s="451">
        <v>6</v>
      </c>
      <c r="I123" s="452">
        <f t="shared" si="49"/>
        <v>1.2829169480081027E-2</v>
      </c>
      <c r="J123" s="452">
        <f t="shared" si="50"/>
        <v>0.12969283276450511</v>
      </c>
      <c r="K123" s="451">
        <v>17</v>
      </c>
      <c r="L123" s="451">
        <v>21</v>
      </c>
      <c r="M123" s="451" t="s">
        <v>117</v>
      </c>
      <c r="N123" s="451" t="s">
        <v>117</v>
      </c>
      <c r="O123" s="451" t="s">
        <v>117</v>
      </c>
      <c r="P123" s="451" t="s">
        <v>117</v>
      </c>
      <c r="Q123" s="451" t="s">
        <v>117</v>
      </c>
      <c r="R123" s="451" t="s">
        <v>117</v>
      </c>
      <c r="S123" s="451"/>
      <c r="T123" s="451">
        <v>37</v>
      </c>
      <c r="U123" s="451">
        <v>1</v>
      </c>
      <c r="V123" s="451"/>
    </row>
    <row r="124" spans="1:22" x14ac:dyDescent="0.2">
      <c r="A124" s="218" t="s">
        <v>1435</v>
      </c>
      <c r="B124" s="459" t="s">
        <v>233</v>
      </c>
      <c r="C124" s="460" t="s">
        <v>67</v>
      </c>
      <c r="D124" s="450" t="s">
        <v>395</v>
      </c>
      <c r="E124" s="450" t="s">
        <v>407</v>
      </c>
      <c r="F124" s="451">
        <f t="shared" si="48"/>
        <v>1</v>
      </c>
      <c r="G124" s="451">
        <v>1</v>
      </c>
      <c r="H124" s="451">
        <v>0</v>
      </c>
      <c r="I124" s="452">
        <f t="shared" si="49"/>
        <v>3.3760972316002703E-4</v>
      </c>
      <c r="J124" s="452">
        <f t="shared" si="50"/>
        <v>3.4129692832764505E-3</v>
      </c>
      <c r="K124" s="451">
        <v>1</v>
      </c>
      <c r="L124" s="451">
        <v>0</v>
      </c>
      <c r="M124" s="451" t="s">
        <v>117</v>
      </c>
      <c r="N124" s="451" t="s">
        <v>117</v>
      </c>
      <c r="O124" s="451" t="s">
        <v>117</v>
      </c>
      <c r="P124" s="451" t="s">
        <v>117</v>
      </c>
      <c r="Q124" s="451" t="s">
        <v>117</v>
      </c>
      <c r="R124" s="451" t="s">
        <v>117</v>
      </c>
      <c r="S124" s="451"/>
      <c r="T124" s="451">
        <v>0</v>
      </c>
      <c r="U124" s="451">
        <v>1</v>
      </c>
      <c r="V124" s="451"/>
    </row>
    <row r="125" spans="1:22" ht="22.5" x14ac:dyDescent="0.2">
      <c r="A125" s="218" t="s">
        <v>1435</v>
      </c>
      <c r="B125" s="459" t="s">
        <v>233</v>
      </c>
      <c r="C125" s="460" t="s">
        <v>67</v>
      </c>
      <c r="D125" s="218" t="s">
        <v>647</v>
      </c>
      <c r="E125" s="450"/>
      <c r="F125" s="451">
        <f t="shared" si="48"/>
        <v>9</v>
      </c>
      <c r="G125" s="451">
        <v>8</v>
      </c>
      <c r="H125" s="451">
        <v>1</v>
      </c>
      <c r="I125" s="452">
        <f t="shared" si="49"/>
        <v>3.0384875084402429E-3</v>
      </c>
      <c r="J125" s="452">
        <f t="shared" si="50"/>
        <v>3.0716723549488054E-2</v>
      </c>
      <c r="K125" s="451">
        <v>0</v>
      </c>
      <c r="L125" s="451">
        <v>9</v>
      </c>
      <c r="M125" s="451" t="s">
        <v>117</v>
      </c>
      <c r="N125" s="451" t="s">
        <v>117</v>
      </c>
      <c r="O125" s="451" t="s">
        <v>117</v>
      </c>
      <c r="P125" s="451" t="s">
        <v>117</v>
      </c>
      <c r="Q125" s="451" t="s">
        <v>117</v>
      </c>
      <c r="R125" s="451" t="s">
        <v>117</v>
      </c>
      <c r="S125" s="451"/>
      <c r="T125" s="451">
        <v>8</v>
      </c>
      <c r="U125" s="451">
        <v>1</v>
      </c>
      <c r="V125" s="451"/>
    </row>
    <row r="126" spans="1:22" x14ac:dyDescent="0.2">
      <c r="A126" s="218" t="s">
        <v>1435</v>
      </c>
      <c r="B126" s="459" t="s">
        <v>233</v>
      </c>
      <c r="C126" s="460" t="s">
        <v>67</v>
      </c>
      <c r="D126" s="450" t="s">
        <v>401</v>
      </c>
      <c r="E126" s="450" t="s">
        <v>407</v>
      </c>
      <c r="F126" s="451">
        <f t="shared" si="48"/>
        <v>38</v>
      </c>
      <c r="G126" s="451">
        <v>30</v>
      </c>
      <c r="H126" s="451">
        <v>8</v>
      </c>
      <c r="I126" s="452">
        <f t="shared" si="49"/>
        <v>1.2829169480081027E-2</v>
      </c>
      <c r="J126" s="452">
        <f t="shared" si="50"/>
        <v>0.12969283276450511</v>
      </c>
      <c r="K126" s="451">
        <v>0</v>
      </c>
      <c r="L126" s="451">
        <v>38</v>
      </c>
      <c r="M126" s="451" t="s">
        <v>117</v>
      </c>
      <c r="N126" s="451" t="s">
        <v>117</v>
      </c>
      <c r="O126" s="451" t="s">
        <v>117</v>
      </c>
      <c r="P126" s="451" t="s">
        <v>117</v>
      </c>
      <c r="Q126" s="451" t="s">
        <v>117</v>
      </c>
      <c r="R126" s="451" t="s">
        <v>117</v>
      </c>
      <c r="S126" s="451"/>
      <c r="T126" s="451">
        <v>37</v>
      </c>
      <c r="U126" s="451">
        <v>1</v>
      </c>
      <c r="V126" s="451"/>
    </row>
    <row r="127" spans="1:22" x14ac:dyDescent="0.2">
      <c r="A127" s="218" t="s">
        <v>1435</v>
      </c>
      <c r="B127" s="459" t="s">
        <v>233</v>
      </c>
      <c r="C127" s="460" t="s">
        <v>67</v>
      </c>
      <c r="D127" s="461" t="s">
        <v>638</v>
      </c>
      <c r="E127" s="450" t="s">
        <v>407</v>
      </c>
      <c r="F127" s="451">
        <f t="shared" si="48"/>
        <v>5</v>
      </c>
      <c r="G127" s="451">
        <v>3</v>
      </c>
      <c r="H127" s="451">
        <v>2</v>
      </c>
      <c r="I127" s="452">
        <f t="shared" si="49"/>
        <v>1.688048615800135E-3</v>
      </c>
      <c r="J127" s="452">
        <f t="shared" si="50"/>
        <v>1.7064846416382253E-2</v>
      </c>
      <c r="K127" s="451">
        <v>0</v>
      </c>
      <c r="L127" s="451">
        <v>5</v>
      </c>
      <c r="M127" s="451" t="s">
        <v>117</v>
      </c>
      <c r="N127" s="451" t="s">
        <v>117</v>
      </c>
      <c r="O127" s="451" t="s">
        <v>117</v>
      </c>
      <c r="P127" s="451" t="s">
        <v>117</v>
      </c>
      <c r="Q127" s="451" t="s">
        <v>117</v>
      </c>
      <c r="R127" s="451" t="s">
        <v>117</v>
      </c>
      <c r="S127" s="451"/>
      <c r="T127" s="451">
        <v>5</v>
      </c>
      <c r="U127" s="451">
        <v>0</v>
      </c>
      <c r="V127" s="451"/>
    </row>
    <row r="128" spans="1:22" x14ac:dyDescent="0.2">
      <c r="A128" s="218" t="s">
        <v>1435</v>
      </c>
      <c r="B128" s="459" t="s">
        <v>233</v>
      </c>
      <c r="C128" s="460" t="s">
        <v>67</v>
      </c>
      <c r="D128" s="461" t="s">
        <v>637</v>
      </c>
      <c r="E128" s="450" t="s">
        <v>407</v>
      </c>
      <c r="F128" s="451">
        <f t="shared" si="48"/>
        <v>27</v>
      </c>
      <c r="G128" s="451">
        <v>13</v>
      </c>
      <c r="H128" s="451">
        <v>14</v>
      </c>
      <c r="I128" s="452">
        <f t="shared" si="49"/>
        <v>9.1154625253207291E-3</v>
      </c>
      <c r="J128" s="452">
        <f t="shared" si="50"/>
        <v>9.2150170648464161E-2</v>
      </c>
      <c r="K128" s="451">
        <v>18</v>
      </c>
      <c r="L128" s="451">
        <v>9</v>
      </c>
      <c r="M128" s="451" t="s">
        <v>117</v>
      </c>
      <c r="N128" s="451" t="s">
        <v>117</v>
      </c>
      <c r="O128" s="451" t="s">
        <v>117</v>
      </c>
      <c r="P128" s="451" t="s">
        <v>117</v>
      </c>
      <c r="Q128" s="451" t="s">
        <v>117</v>
      </c>
      <c r="R128" s="451" t="s">
        <v>117</v>
      </c>
      <c r="S128" s="451"/>
      <c r="T128" s="451">
        <v>27</v>
      </c>
      <c r="U128" s="451">
        <v>0</v>
      </c>
      <c r="V128" s="451"/>
    </row>
    <row r="129" spans="1:22" hidden="1" x14ac:dyDescent="0.2">
      <c r="A129" s="218"/>
      <c r="B129" s="459"/>
      <c r="C129" s="460"/>
      <c r="D129" s="461"/>
      <c r="E129" s="450"/>
      <c r="F129" s="451"/>
      <c r="G129" s="451"/>
      <c r="H129" s="451"/>
      <c r="I129" s="452"/>
      <c r="J129" s="452"/>
      <c r="K129" s="451"/>
      <c r="L129" s="451"/>
      <c r="M129" s="451"/>
      <c r="N129" s="451"/>
      <c r="O129" s="451"/>
      <c r="P129" s="451"/>
      <c r="Q129" s="451"/>
      <c r="R129" s="451"/>
      <c r="S129" s="451"/>
      <c r="T129" s="451"/>
      <c r="U129" s="451"/>
      <c r="V129" s="451"/>
    </row>
    <row r="130" spans="1:22" ht="24.6" hidden="1" customHeight="1" x14ac:dyDescent="0.2">
      <c r="A130" s="218"/>
      <c r="B130" s="459"/>
      <c r="C130" s="460"/>
      <c r="D130" s="218"/>
      <c r="E130" s="450"/>
      <c r="F130" s="451"/>
      <c r="G130" s="451"/>
      <c r="H130" s="451"/>
      <c r="I130" s="452"/>
      <c r="J130" s="452"/>
      <c r="K130" s="451"/>
      <c r="L130" s="451"/>
      <c r="M130" s="451"/>
      <c r="N130" s="451"/>
      <c r="O130" s="451"/>
      <c r="P130" s="451"/>
      <c r="Q130" s="451"/>
      <c r="R130" s="451"/>
      <c r="S130" s="451"/>
      <c r="T130" s="451"/>
      <c r="U130" s="451"/>
      <c r="V130" s="451"/>
    </row>
    <row r="131" spans="1:22" x14ac:dyDescent="0.2">
      <c r="A131" s="630" t="s">
        <v>235</v>
      </c>
      <c r="B131" s="631"/>
      <c r="C131" s="631"/>
      <c r="D131" s="631"/>
      <c r="E131" s="475"/>
      <c r="F131" s="453">
        <f t="shared" ref="F131:V131" si="51">SUM(F122:F130)</f>
        <v>135</v>
      </c>
      <c r="G131" s="453">
        <f t="shared" si="51"/>
        <v>97</v>
      </c>
      <c r="H131" s="453">
        <f t="shared" si="51"/>
        <v>38</v>
      </c>
      <c r="I131" s="454">
        <f t="shared" si="51"/>
        <v>4.5577312626603653E-2</v>
      </c>
      <c r="J131" s="454">
        <f t="shared" si="51"/>
        <v>0.46075085324232073</v>
      </c>
      <c r="K131" s="453">
        <f t="shared" si="51"/>
        <v>38</v>
      </c>
      <c r="L131" s="453">
        <f t="shared" si="51"/>
        <v>97</v>
      </c>
      <c r="M131" s="453">
        <f t="shared" si="51"/>
        <v>0</v>
      </c>
      <c r="N131" s="453">
        <f t="shared" si="51"/>
        <v>0</v>
      </c>
      <c r="O131" s="453">
        <f t="shared" si="51"/>
        <v>0</v>
      </c>
      <c r="P131" s="453">
        <f t="shared" si="51"/>
        <v>0</v>
      </c>
      <c r="Q131" s="453">
        <f t="shared" si="51"/>
        <v>0</v>
      </c>
      <c r="R131" s="453">
        <f t="shared" si="51"/>
        <v>0</v>
      </c>
      <c r="S131" s="453">
        <f t="shared" si="51"/>
        <v>0</v>
      </c>
      <c r="T131" s="453">
        <f t="shared" si="51"/>
        <v>127</v>
      </c>
      <c r="U131" s="453">
        <f t="shared" si="51"/>
        <v>8</v>
      </c>
      <c r="V131" s="453">
        <f t="shared" si="51"/>
        <v>0</v>
      </c>
    </row>
    <row r="132" spans="1:22" x14ac:dyDescent="0.2">
      <c r="A132" s="628" t="s">
        <v>236</v>
      </c>
      <c r="B132" s="629"/>
      <c r="C132" s="629"/>
      <c r="D132" s="629"/>
      <c r="E132" s="476"/>
      <c r="F132" s="455">
        <f>F121+F131</f>
        <v>353</v>
      </c>
      <c r="G132" s="455">
        <f>G121+G131</f>
        <v>259</v>
      </c>
      <c r="H132" s="455">
        <f>H121+H131</f>
        <v>94</v>
      </c>
      <c r="I132" s="456">
        <f>I121+I131</f>
        <v>0.11917623227548954</v>
      </c>
      <c r="J132" s="457"/>
      <c r="K132" s="455">
        <f t="shared" ref="K132:V132" si="52">K121+K131</f>
        <v>206</v>
      </c>
      <c r="L132" s="455">
        <f t="shared" si="52"/>
        <v>147</v>
      </c>
      <c r="M132" s="455">
        <f t="shared" si="52"/>
        <v>53</v>
      </c>
      <c r="N132" s="455">
        <f t="shared" si="52"/>
        <v>38</v>
      </c>
      <c r="O132" s="455">
        <f t="shared" si="52"/>
        <v>52</v>
      </c>
      <c r="P132" s="455">
        <f t="shared" si="52"/>
        <v>75</v>
      </c>
      <c r="Q132" s="455">
        <f t="shared" si="52"/>
        <v>0</v>
      </c>
      <c r="R132" s="455">
        <f t="shared" si="52"/>
        <v>0</v>
      </c>
      <c r="S132" s="455">
        <f t="shared" si="52"/>
        <v>0</v>
      </c>
      <c r="T132" s="455">
        <f t="shared" si="52"/>
        <v>127</v>
      </c>
      <c r="U132" s="455">
        <f t="shared" si="52"/>
        <v>8</v>
      </c>
      <c r="V132" s="455">
        <f t="shared" si="52"/>
        <v>0</v>
      </c>
    </row>
    <row r="133" spans="1:22" ht="3" customHeight="1" x14ac:dyDescent="0.25">
      <c r="A133" s="458"/>
      <c r="B133" s="458"/>
      <c r="C133" s="458"/>
      <c r="D133" s="458"/>
      <c r="E133" s="458"/>
      <c r="F133" s="458"/>
      <c r="G133" s="458"/>
      <c r="H133" s="458"/>
      <c r="I133" s="458"/>
      <c r="J133" s="458"/>
      <c r="K133" s="458"/>
      <c r="L133" s="458"/>
      <c r="M133" s="458"/>
      <c r="N133" s="458"/>
      <c r="O133" s="458"/>
      <c r="P133" s="458"/>
      <c r="Q133" s="458"/>
      <c r="R133" s="458"/>
      <c r="S133" s="458"/>
      <c r="T133" s="458"/>
      <c r="U133" s="458"/>
      <c r="V133" s="458"/>
    </row>
    <row r="134" spans="1:22" x14ac:dyDescent="0.2">
      <c r="A134" s="218" t="s">
        <v>1435</v>
      </c>
      <c r="B134" s="218" t="s">
        <v>324</v>
      </c>
      <c r="C134" s="449" t="s">
        <v>68</v>
      </c>
      <c r="D134" s="450" t="s">
        <v>293</v>
      </c>
      <c r="E134" s="450" t="s">
        <v>439</v>
      </c>
      <c r="F134" s="451">
        <f t="shared" ref="F134:F138" si="53">G134+H134</f>
        <v>50</v>
      </c>
      <c r="G134" s="451">
        <v>17</v>
      </c>
      <c r="H134" s="451">
        <v>33</v>
      </c>
      <c r="I134" s="452">
        <f t="shared" ref="I134:I142" si="54">F134/$F$148</f>
        <v>1.6880486158001352E-2</v>
      </c>
      <c r="J134" s="452">
        <f t="shared" ref="J134:J142" si="55">F134/$F$146</f>
        <v>1.8733608092918696E-2</v>
      </c>
      <c r="K134" s="451">
        <v>34</v>
      </c>
      <c r="L134" s="451">
        <v>16</v>
      </c>
      <c r="M134" s="451">
        <v>13</v>
      </c>
      <c r="N134" s="451">
        <v>6</v>
      </c>
      <c r="O134" s="451">
        <v>14</v>
      </c>
      <c r="P134" s="451">
        <v>17</v>
      </c>
      <c r="Q134" s="451" t="s">
        <v>117</v>
      </c>
      <c r="R134" s="451" t="s">
        <v>117</v>
      </c>
      <c r="S134" s="451" t="s">
        <v>117</v>
      </c>
      <c r="T134" s="451" t="s">
        <v>117</v>
      </c>
      <c r="U134" s="451" t="s">
        <v>117</v>
      </c>
      <c r="V134" s="451"/>
    </row>
    <row r="135" spans="1:22" x14ac:dyDescent="0.2">
      <c r="A135" s="218" t="s">
        <v>1435</v>
      </c>
      <c r="B135" s="218" t="s">
        <v>324</v>
      </c>
      <c r="C135" s="449" t="s">
        <v>68</v>
      </c>
      <c r="D135" s="450" t="s">
        <v>293</v>
      </c>
      <c r="E135" s="450" t="s">
        <v>440</v>
      </c>
      <c r="F135" s="451">
        <f t="shared" si="53"/>
        <v>33</v>
      </c>
      <c r="G135" s="451">
        <v>26</v>
      </c>
      <c r="H135" s="451">
        <v>7</v>
      </c>
      <c r="I135" s="452">
        <f t="shared" si="54"/>
        <v>1.1141120864280891E-2</v>
      </c>
      <c r="J135" s="452">
        <f t="shared" si="55"/>
        <v>1.2364181341326339E-2</v>
      </c>
      <c r="K135" s="451">
        <v>21</v>
      </c>
      <c r="L135" s="451">
        <v>12</v>
      </c>
      <c r="M135" s="451">
        <v>6</v>
      </c>
      <c r="N135" s="451">
        <v>0</v>
      </c>
      <c r="O135" s="451">
        <v>5</v>
      </c>
      <c r="P135" s="451">
        <v>22</v>
      </c>
      <c r="Q135" s="451" t="s">
        <v>117</v>
      </c>
      <c r="R135" s="451" t="s">
        <v>117</v>
      </c>
      <c r="S135" s="451" t="s">
        <v>117</v>
      </c>
      <c r="T135" s="451" t="s">
        <v>117</v>
      </c>
      <c r="U135" s="451" t="s">
        <v>117</v>
      </c>
      <c r="V135" s="451"/>
    </row>
    <row r="136" spans="1:22" x14ac:dyDescent="0.2">
      <c r="A136" s="218" t="s">
        <v>1435</v>
      </c>
      <c r="B136" s="218" t="s">
        <v>324</v>
      </c>
      <c r="C136" s="449" t="s">
        <v>68</v>
      </c>
      <c r="D136" s="450" t="s">
        <v>293</v>
      </c>
      <c r="E136" s="450" t="s">
        <v>438</v>
      </c>
      <c r="F136" s="451">
        <f t="shared" si="53"/>
        <v>50</v>
      </c>
      <c r="G136" s="451">
        <v>21</v>
      </c>
      <c r="H136" s="451">
        <v>29</v>
      </c>
      <c r="I136" s="452">
        <f t="shared" si="54"/>
        <v>1.6880486158001352E-2</v>
      </c>
      <c r="J136" s="452">
        <f t="shared" si="55"/>
        <v>1.8733608092918696E-2</v>
      </c>
      <c r="K136" s="451">
        <v>44</v>
      </c>
      <c r="L136" s="451">
        <v>6</v>
      </c>
      <c r="M136" s="451">
        <v>21</v>
      </c>
      <c r="N136" s="451">
        <v>9</v>
      </c>
      <c r="O136" s="451">
        <v>8</v>
      </c>
      <c r="P136" s="451">
        <v>12</v>
      </c>
      <c r="Q136" s="451" t="s">
        <v>117</v>
      </c>
      <c r="R136" s="451" t="s">
        <v>117</v>
      </c>
      <c r="S136" s="451" t="s">
        <v>117</v>
      </c>
      <c r="T136" s="451" t="s">
        <v>117</v>
      </c>
      <c r="U136" s="451" t="s">
        <v>117</v>
      </c>
      <c r="V136" s="451"/>
    </row>
    <row r="137" spans="1:22" x14ac:dyDescent="0.2">
      <c r="A137" s="218" t="s">
        <v>1435</v>
      </c>
      <c r="B137" s="218" t="s">
        <v>324</v>
      </c>
      <c r="C137" s="449" t="s">
        <v>68</v>
      </c>
      <c r="D137" s="450" t="s">
        <v>403</v>
      </c>
      <c r="E137" s="450" t="s">
        <v>407</v>
      </c>
      <c r="F137" s="451">
        <f t="shared" si="53"/>
        <v>55</v>
      </c>
      <c r="G137" s="486">
        <v>44</v>
      </c>
      <c r="H137" s="451">
        <v>11</v>
      </c>
      <c r="I137" s="452">
        <f t="shared" si="54"/>
        <v>1.8568534773801486E-2</v>
      </c>
      <c r="J137" s="452">
        <f t="shared" si="55"/>
        <v>2.0606968902210566E-2</v>
      </c>
      <c r="K137" s="486">
        <v>51</v>
      </c>
      <c r="L137" s="486">
        <v>4</v>
      </c>
      <c r="M137" s="486">
        <v>1</v>
      </c>
      <c r="N137" s="486">
        <v>0</v>
      </c>
      <c r="O137" s="486">
        <v>16</v>
      </c>
      <c r="P137" s="486">
        <v>38</v>
      </c>
      <c r="Q137" s="451" t="s">
        <v>117</v>
      </c>
      <c r="R137" s="451" t="s">
        <v>117</v>
      </c>
      <c r="S137" s="451" t="s">
        <v>117</v>
      </c>
      <c r="T137" s="451" t="s">
        <v>117</v>
      </c>
      <c r="U137" s="451" t="s">
        <v>117</v>
      </c>
      <c r="V137" s="486"/>
    </row>
    <row r="138" spans="1:22" x14ac:dyDescent="0.2">
      <c r="A138" s="218" t="s">
        <v>1435</v>
      </c>
      <c r="B138" s="218" t="s">
        <v>324</v>
      </c>
      <c r="C138" s="449" t="s">
        <v>68</v>
      </c>
      <c r="D138" s="450" t="s">
        <v>404</v>
      </c>
      <c r="F138" s="468">
        <f t="shared" si="53"/>
        <v>238</v>
      </c>
      <c r="G138" s="469">
        <v>176</v>
      </c>
      <c r="H138" s="487">
        <v>62</v>
      </c>
      <c r="I138" s="452">
        <f t="shared" si="54"/>
        <v>8.0351114112086425E-2</v>
      </c>
      <c r="J138" s="488">
        <f t="shared" si="55"/>
        <v>8.9171974522292988E-2</v>
      </c>
      <c r="K138" s="469">
        <v>152</v>
      </c>
      <c r="L138" s="469">
        <v>86</v>
      </c>
      <c r="M138" s="469">
        <v>121</v>
      </c>
      <c r="N138" s="469">
        <v>56</v>
      </c>
      <c r="O138" s="469">
        <v>39</v>
      </c>
      <c r="P138" s="469">
        <v>22</v>
      </c>
      <c r="Q138" s="451" t="s">
        <v>117</v>
      </c>
      <c r="R138" s="451" t="s">
        <v>117</v>
      </c>
      <c r="S138" s="451" t="s">
        <v>117</v>
      </c>
      <c r="T138" s="451" t="s">
        <v>117</v>
      </c>
      <c r="U138" s="451" t="s">
        <v>117</v>
      </c>
      <c r="V138" s="469"/>
    </row>
    <row r="139" spans="1:22" x14ac:dyDescent="0.2">
      <c r="A139" s="218" t="s">
        <v>1435</v>
      </c>
      <c r="B139" s="218" t="s">
        <v>324</v>
      </c>
      <c r="C139" s="449" t="s">
        <v>68</v>
      </c>
      <c r="D139" s="450" t="s">
        <v>382</v>
      </c>
      <c r="E139" s="450"/>
      <c r="F139" s="451">
        <f t="shared" ref="F139:F140" si="56">G139+H139</f>
        <v>21</v>
      </c>
      <c r="G139" s="451">
        <v>19</v>
      </c>
      <c r="H139" s="451">
        <v>2</v>
      </c>
      <c r="I139" s="452">
        <f t="shared" ref="I139:I140" si="57">F139/$F$148</f>
        <v>7.0898041863605675E-3</v>
      </c>
      <c r="J139" s="452">
        <f t="shared" ref="J139:J140" si="58">F139/$F$146</f>
        <v>7.8681153990258525E-3</v>
      </c>
      <c r="K139" s="451">
        <v>18</v>
      </c>
      <c r="L139" s="451">
        <v>3</v>
      </c>
      <c r="M139" s="451">
        <v>9</v>
      </c>
      <c r="N139" s="451">
        <v>2</v>
      </c>
      <c r="O139" s="451">
        <v>7</v>
      </c>
      <c r="P139" s="451">
        <v>3</v>
      </c>
      <c r="Q139" s="451" t="s">
        <v>117</v>
      </c>
      <c r="R139" s="451" t="s">
        <v>117</v>
      </c>
      <c r="S139" s="451" t="s">
        <v>117</v>
      </c>
      <c r="T139" s="451" t="s">
        <v>117</v>
      </c>
      <c r="U139" s="451" t="s">
        <v>117</v>
      </c>
      <c r="V139" s="451"/>
    </row>
    <row r="140" spans="1:22" x14ac:dyDescent="0.2">
      <c r="A140" s="218" t="s">
        <v>1435</v>
      </c>
      <c r="B140" s="218" t="s">
        <v>324</v>
      </c>
      <c r="C140" s="449" t="s">
        <v>68</v>
      </c>
      <c r="D140" s="450" t="s">
        <v>405</v>
      </c>
      <c r="E140" s="450" t="s">
        <v>407</v>
      </c>
      <c r="F140" s="451">
        <f t="shared" si="56"/>
        <v>50</v>
      </c>
      <c r="G140" s="451">
        <v>38</v>
      </c>
      <c r="H140" s="451">
        <v>12</v>
      </c>
      <c r="I140" s="452">
        <f t="shared" si="57"/>
        <v>1.6880486158001352E-2</v>
      </c>
      <c r="J140" s="452">
        <f t="shared" si="58"/>
        <v>1.8733608092918696E-2</v>
      </c>
      <c r="K140" s="451">
        <v>40</v>
      </c>
      <c r="L140" s="451">
        <v>10</v>
      </c>
      <c r="M140" s="451">
        <v>4</v>
      </c>
      <c r="N140" s="451">
        <v>5</v>
      </c>
      <c r="O140" s="451">
        <v>14</v>
      </c>
      <c r="P140" s="451">
        <v>27</v>
      </c>
      <c r="Q140" s="451" t="s">
        <v>117</v>
      </c>
      <c r="R140" s="451" t="s">
        <v>117</v>
      </c>
      <c r="S140" s="451" t="s">
        <v>117</v>
      </c>
      <c r="T140" s="451" t="s">
        <v>117</v>
      </c>
      <c r="U140" s="451" t="s">
        <v>117</v>
      </c>
      <c r="V140" s="451"/>
    </row>
    <row r="141" spans="1:22" hidden="1" x14ac:dyDescent="0.2">
      <c r="A141" s="218"/>
      <c r="B141" s="218"/>
      <c r="C141" s="449"/>
      <c r="D141" s="450"/>
      <c r="E141" s="450"/>
      <c r="F141" s="451"/>
      <c r="G141" s="451"/>
      <c r="H141" s="451"/>
      <c r="I141" s="452"/>
      <c r="J141" s="452"/>
      <c r="K141" s="451"/>
      <c r="L141" s="451"/>
      <c r="M141" s="451"/>
      <c r="N141" s="451"/>
      <c r="O141" s="451"/>
      <c r="P141" s="451"/>
      <c r="Q141" s="451"/>
      <c r="R141" s="451"/>
      <c r="S141" s="451"/>
      <c r="T141" s="451"/>
      <c r="U141" s="451"/>
      <c r="V141" s="451"/>
    </row>
    <row r="142" spans="1:22" hidden="1" x14ac:dyDescent="0.2">
      <c r="A142" s="218"/>
      <c r="B142" s="218" t="s">
        <v>324</v>
      </c>
      <c r="C142" s="449" t="s">
        <v>68</v>
      </c>
      <c r="D142" s="450"/>
      <c r="E142" s="450"/>
      <c r="F142" s="451"/>
      <c r="G142" s="451"/>
      <c r="H142" s="451"/>
      <c r="I142" s="452">
        <f t="shared" si="54"/>
        <v>0</v>
      </c>
      <c r="J142" s="452">
        <f t="shared" si="55"/>
        <v>0</v>
      </c>
      <c r="K142" s="451"/>
      <c r="L142" s="451"/>
      <c r="M142" s="451"/>
      <c r="N142" s="451"/>
      <c r="O142" s="451"/>
      <c r="P142" s="451"/>
      <c r="Q142" s="451"/>
      <c r="R142" s="451"/>
      <c r="S142" s="451"/>
      <c r="T142" s="451"/>
      <c r="U142" s="451"/>
      <c r="V142" s="451"/>
    </row>
    <row r="143" spans="1:22" x14ac:dyDescent="0.2">
      <c r="A143" s="630" t="s">
        <v>332</v>
      </c>
      <c r="B143" s="631"/>
      <c r="C143" s="631"/>
      <c r="D143" s="631"/>
      <c r="E143" s="475"/>
      <c r="F143" s="453">
        <f t="shared" ref="F143:V143" si="59">SUM(F134:F142)</f>
        <v>497</v>
      </c>
      <c r="G143" s="453">
        <f t="shared" si="59"/>
        <v>341</v>
      </c>
      <c r="H143" s="453">
        <f t="shared" si="59"/>
        <v>156</v>
      </c>
      <c r="I143" s="454">
        <f t="shared" si="59"/>
        <v>0.16779203241053345</v>
      </c>
      <c r="J143" s="454">
        <f t="shared" si="59"/>
        <v>0.1862120644436118</v>
      </c>
      <c r="K143" s="453">
        <f t="shared" si="59"/>
        <v>360</v>
      </c>
      <c r="L143" s="453">
        <f t="shared" si="59"/>
        <v>137</v>
      </c>
      <c r="M143" s="453">
        <f t="shared" si="59"/>
        <v>175</v>
      </c>
      <c r="N143" s="453">
        <f t="shared" si="59"/>
        <v>78</v>
      </c>
      <c r="O143" s="453">
        <f t="shared" si="59"/>
        <v>103</v>
      </c>
      <c r="P143" s="453">
        <f t="shared" si="59"/>
        <v>141</v>
      </c>
      <c r="Q143" s="453">
        <f t="shared" si="59"/>
        <v>0</v>
      </c>
      <c r="R143" s="453">
        <f t="shared" si="59"/>
        <v>0</v>
      </c>
      <c r="S143" s="453">
        <f t="shared" si="59"/>
        <v>0</v>
      </c>
      <c r="T143" s="453">
        <f t="shared" si="59"/>
        <v>0</v>
      </c>
      <c r="U143" s="453">
        <f t="shared" si="59"/>
        <v>0</v>
      </c>
      <c r="V143" s="453">
        <f t="shared" si="59"/>
        <v>0</v>
      </c>
    </row>
    <row r="144" spans="1:22" x14ac:dyDescent="0.2">
      <c r="A144" s="628" t="s">
        <v>331</v>
      </c>
      <c r="B144" s="629"/>
      <c r="C144" s="629"/>
      <c r="D144" s="629"/>
      <c r="E144" s="476"/>
      <c r="F144" s="455">
        <f>F143</f>
        <v>497</v>
      </c>
      <c r="G144" s="455">
        <f t="shared" ref="G144:V144" si="60">G143</f>
        <v>341</v>
      </c>
      <c r="H144" s="455">
        <f t="shared" si="60"/>
        <v>156</v>
      </c>
      <c r="I144" s="456">
        <f>I143</f>
        <v>0.16779203241053345</v>
      </c>
      <c r="J144" s="457"/>
      <c r="K144" s="455">
        <f t="shared" si="60"/>
        <v>360</v>
      </c>
      <c r="L144" s="455">
        <f t="shared" si="60"/>
        <v>137</v>
      </c>
      <c r="M144" s="455">
        <f t="shared" si="60"/>
        <v>175</v>
      </c>
      <c r="N144" s="455">
        <f t="shared" si="60"/>
        <v>78</v>
      </c>
      <c r="O144" s="455">
        <f t="shared" si="60"/>
        <v>103</v>
      </c>
      <c r="P144" s="455">
        <f t="shared" si="60"/>
        <v>141</v>
      </c>
      <c r="Q144" s="455">
        <f t="shared" si="60"/>
        <v>0</v>
      </c>
      <c r="R144" s="455">
        <f t="shared" si="60"/>
        <v>0</v>
      </c>
      <c r="S144" s="455">
        <f t="shared" si="60"/>
        <v>0</v>
      </c>
      <c r="T144" s="455">
        <f t="shared" si="60"/>
        <v>0</v>
      </c>
      <c r="U144" s="455">
        <f t="shared" si="60"/>
        <v>0</v>
      </c>
      <c r="V144" s="455">
        <f t="shared" si="60"/>
        <v>0</v>
      </c>
    </row>
    <row r="145" spans="1:22" ht="3" customHeight="1" x14ac:dyDescent="0.25">
      <c r="A145" s="458"/>
      <c r="B145" s="458"/>
      <c r="C145" s="458"/>
      <c r="D145" s="458"/>
      <c r="E145" s="458"/>
      <c r="F145" s="458"/>
      <c r="G145" s="458"/>
      <c r="H145" s="458"/>
      <c r="I145" s="458"/>
      <c r="J145" s="458"/>
      <c r="K145" s="458"/>
      <c r="L145" s="458"/>
      <c r="M145" s="458"/>
      <c r="N145" s="458"/>
      <c r="O145" s="458"/>
      <c r="P145" s="458"/>
      <c r="Q145" s="458"/>
      <c r="R145" s="458"/>
      <c r="S145" s="458"/>
      <c r="T145" s="458"/>
      <c r="U145" s="458"/>
      <c r="V145" s="458"/>
    </row>
    <row r="146" spans="1:22" x14ac:dyDescent="0.2">
      <c r="A146" s="632" t="s">
        <v>237</v>
      </c>
      <c r="B146" s="633"/>
      <c r="C146" s="633"/>
      <c r="D146" s="633"/>
      <c r="E146" s="489"/>
      <c r="F146" s="462">
        <f>F34+F64+F76+F94+F103+F143+F121</f>
        <v>2669</v>
      </c>
      <c r="G146" s="462">
        <f>G34+G64+G76+G94+G103+G143+G121</f>
        <v>1535</v>
      </c>
      <c r="H146" s="462">
        <f>H34+H64+H76+H94+H103+H143+H121</f>
        <v>1134</v>
      </c>
      <c r="I146" s="463">
        <f>F146/F148</f>
        <v>0.90108035111411211</v>
      </c>
      <c r="J146" s="462"/>
      <c r="K146" s="462">
        <f t="shared" ref="K146:V146" si="61">K34+K64+K76+K94+K103+K143+K121</f>
        <v>2037</v>
      </c>
      <c r="L146" s="462">
        <f t="shared" si="61"/>
        <v>632</v>
      </c>
      <c r="M146" s="462">
        <f t="shared" si="61"/>
        <v>921</v>
      </c>
      <c r="N146" s="462">
        <f t="shared" si="61"/>
        <v>481</v>
      </c>
      <c r="O146" s="462">
        <f t="shared" si="61"/>
        <v>516</v>
      </c>
      <c r="P146" s="462">
        <f t="shared" si="61"/>
        <v>706</v>
      </c>
      <c r="Q146" s="462">
        <f t="shared" si="61"/>
        <v>36</v>
      </c>
      <c r="R146" s="462">
        <f t="shared" si="61"/>
        <v>9</v>
      </c>
      <c r="S146" s="462">
        <f t="shared" si="61"/>
        <v>0</v>
      </c>
      <c r="T146" s="462">
        <f t="shared" si="61"/>
        <v>0</v>
      </c>
      <c r="U146" s="462">
        <f t="shared" si="61"/>
        <v>0</v>
      </c>
      <c r="V146" s="462">
        <f t="shared" si="61"/>
        <v>0</v>
      </c>
    </row>
    <row r="147" spans="1:22" x14ac:dyDescent="0.2">
      <c r="A147" s="632" t="s">
        <v>238</v>
      </c>
      <c r="B147" s="633"/>
      <c r="C147" s="633"/>
      <c r="D147" s="633"/>
      <c r="E147" s="489"/>
      <c r="F147" s="462">
        <f>F41+F69+F98+F131</f>
        <v>293</v>
      </c>
      <c r="G147" s="462">
        <f>G41+G69+G98+G131</f>
        <v>192</v>
      </c>
      <c r="H147" s="462">
        <f>H41+H69+H98+H131</f>
        <v>101</v>
      </c>
      <c r="I147" s="463">
        <f>F147/F148</f>
        <v>9.8919648885887917E-2</v>
      </c>
      <c r="J147" s="462"/>
      <c r="K147" s="462">
        <f t="shared" ref="K147:V147" si="62">K41+K69+K98+K131</f>
        <v>99</v>
      </c>
      <c r="L147" s="462">
        <f t="shared" si="62"/>
        <v>194</v>
      </c>
      <c r="M147" s="462">
        <f t="shared" si="62"/>
        <v>0</v>
      </c>
      <c r="N147" s="462">
        <f t="shared" si="62"/>
        <v>0</v>
      </c>
      <c r="O147" s="462">
        <f t="shared" si="62"/>
        <v>0</v>
      </c>
      <c r="P147" s="462">
        <f t="shared" si="62"/>
        <v>0</v>
      </c>
      <c r="Q147" s="462">
        <f t="shared" si="62"/>
        <v>0</v>
      </c>
      <c r="R147" s="462">
        <f t="shared" si="62"/>
        <v>0</v>
      </c>
      <c r="S147" s="462">
        <f t="shared" si="62"/>
        <v>0</v>
      </c>
      <c r="T147" s="462">
        <f t="shared" si="62"/>
        <v>281</v>
      </c>
      <c r="U147" s="462">
        <f t="shared" si="62"/>
        <v>12</v>
      </c>
      <c r="V147" s="462">
        <f t="shared" si="62"/>
        <v>0</v>
      </c>
    </row>
    <row r="148" spans="1:22" x14ac:dyDescent="0.2">
      <c r="A148" s="634" t="s">
        <v>239</v>
      </c>
      <c r="B148" s="635"/>
      <c r="C148" s="635"/>
      <c r="D148" s="635"/>
      <c r="E148" s="490"/>
      <c r="F148" s="464">
        <f>F42+F70+F77+F99+F104+F144+F132</f>
        <v>2962</v>
      </c>
      <c r="G148" s="464">
        <f>G42+G70+G77+G99+G104+G144+G132</f>
        <v>1727</v>
      </c>
      <c r="H148" s="464">
        <f>H42+H70+H77+H99+H104+H144+H132</f>
        <v>1235</v>
      </c>
      <c r="I148" s="465">
        <f>I146+I147</f>
        <v>1</v>
      </c>
      <c r="J148" s="464"/>
      <c r="K148" s="464">
        <f t="shared" ref="K148:V148" si="63">K42+K70+K77+K99+K104+K144+K132</f>
        <v>2136</v>
      </c>
      <c r="L148" s="464">
        <f t="shared" si="63"/>
        <v>826</v>
      </c>
      <c r="M148" s="464">
        <f t="shared" si="63"/>
        <v>921</v>
      </c>
      <c r="N148" s="464">
        <f t="shared" si="63"/>
        <v>481</v>
      </c>
      <c r="O148" s="464">
        <f t="shared" si="63"/>
        <v>516</v>
      </c>
      <c r="P148" s="464">
        <f t="shared" si="63"/>
        <v>706</v>
      </c>
      <c r="Q148" s="464">
        <f t="shared" si="63"/>
        <v>36</v>
      </c>
      <c r="R148" s="464">
        <f t="shared" si="63"/>
        <v>9</v>
      </c>
      <c r="S148" s="464">
        <f t="shared" si="63"/>
        <v>0</v>
      </c>
      <c r="T148" s="464">
        <f t="shared" si="63"/>
        <v>281</v>
      </c>
      <c r="U148" s="464">
        <f t="shared" si="63"/>
        <v>12</v>
      </c>
      <c r="V148" s="464">
        <f t="shared" si="63"/>
        <v>0</v>
      </c>
    </row>
    <row r="149" spans="1:22" s="31" customFormat="1" x14ac:dyDescent="0.2">
      <c r="G149" s="311">
        <f>G148/$F$148</f>
        <v>0.58305199189736667</v>
      </c>
      <c r="H149" s="311">
        <f>H148/$F$148</f>
        <v>0.41694800810263338</v>
      </c>
      <c r="K149" s="312">
        <f>K148/$F$148</f>
        <v>0.72113436866981773</v>
      </c>
      <c r="L149" s="312">
        <f>L148/$F$148</f>
        <v>0.27886563133018233</v>
      </c>
      <c r="M149" s="312">
        <f>M148/$F$148</f>
        <v>0.31093855503038487</v>
      </c>
      <c r="N149" s="312">
        <f>N148/$F$148</f>
        <v>0.16239027683997298</v>
      </c>
      <c r="O149" s="312">
        <f t="shared" ref="O149:V149" si="64">O148/$F$148</f>
        <v>0.17420661715057395</v>
      </c>
      <c r="P149" s="312">
        <f t="shared" si="64"/>
        <v>0.23835246455097908</v>
      </c>
      <c r="Q149" s="312">
        <f t="shared" si="64"/>
        <v>1.2153950033760972E-2</v>
      </c>
      <c r="R149" s="312">
        <f t="shared" si="64"/>
        <v>3.0384875084402429E-3</v>
      </c>
      <c r="S149" s="312">
        <f t="shared" si="64"/>
        <v>0</v>
      </c>
      <c r="T149" s="312">
        <f t="shared" si="64"/>
        <v>9.4868332207967587E-2</v>
      </c>
      <c r="U149" s="312">
        <f t="shared" si="64"/>
        <v>4.0513166779203242E-3</v>
      </c>
      <c r="V149" s="312">
        <f t="shared" si="64"/>
        <v>0</v>
      </c>
    </row>
    <row r="150" spans="1:22" x14ac:dyDescent="0.2">
      <c r="M150" s="466"/>
    </row>
    <row r="151" spans="1:22" x14ac:dyDescent="0.2">
      <c r="A151" s="29" t="s">
        <v>673</v>
      </c>
    </row>
  </sheetData>
  <mergeCells count="32">
    <mergeCell ref="A148:D148"/>
    <mergeCell ref="E6:E7"/>
    <mergeCell ref="A143:D143"/>
    <mergeCell ref="A144:D144"/>
    <mergeCell ref="A121:D121"/>
    <mergeCell ref="A131:D131"/>
    <mergeCell ref="A132:D132"/>
    <mergeCell ref="A146:D146"/>
    <mergeCell ref="A77:D77"/>
    <mergeCell ref="A94:D94"/>
    <mergeCell ref="A98:D98"/>
    <mergeCell ref="A99:D99"/>
    <mergeCell ref="A103:D103"/>
    <mergeCell ref="A104:D104"/>
    <mergeCell ref="A42:D42"/>
    <mergeCell ref="A64:D64"/>
    <mergeCell ref="M6:U6"/>
    <mergeCell ref="A69:D69"/>
    <mergeCell ref="A70:D70"/>
    <mergeCell ref="A76:D76"/>
    <mergeCell ref="A147:D147"/>
    <mergeCell ref="I6:I7"/>
    <mergeCell ref="A41:D41"/>
    <mergeCell ref="J6:J7"/>
    <mergeCell ref="K6:L6"/>
    <mergeCell ref="A34:D34"/>
    <mergeCell ref="F6:F7"/>
    <mergeCell ref="G6:H6"/>
    <mergeCell ref="A6:A7"/>
    <mergeCell ref="B6:B7"/>
    <mergeCell ref="C6:C7"/>
    <mergeCell ref="D6:D7"/>
  </mergeCells>
  <hyperlinks>
    <hyperlink ref="Q1" location="'Table of Contents'!A1" display="Back to Table Of Contents" xr:uid="{C6FDCE3D-44F9-4347-B3CC-544287F9F2CE}"/>
  </hyperlinks>
  <printOptions horizontalCentered="1" verticalCentered="1"/>
  <pageMargins left="0.5" right="0.5" top="0.5" bottom="0.5" header="0.5" footer="0.25"/>
  <pageSetup scale="83" orientation="landscape" r:id="rId1"/>
  <headerFooter alignWithMargins="0">
    <oddHeader>&amp;ROctober 2022</oddHeader>
    <oddFooter>&amp;CPage &amp;P of &amp;N&amp;R&amp;8&amp;F</oddFooter>
  </headerFooter>
  <rowBreaks count="3" manualBreakCount="3">
    <brk id="34" max="20" man="1"/>
    <brk id="71" max="20" man="1"/>
    <brk id="106" max="20" man="1"/>
  </rowBreaks>
  <colBreaks count="1" manualBreakCount="1">
    <brk id="2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8A280-200D-4365-A309-A35E67923E22}">
  <sheetPr>
    <tabColor theme="6"/>
  </sheetPr>
  <dimension ref="A1:U151"/>
  <sheetViews>
    <sheetView zoomScaleNormal="100" zoomScaleSheetLayoutView="80" zoomScalePageLayoutView="80" workbookViewId="0">
      <pane ySplit="7" topLeftCell="A8" activePane="bottomLeft" state="frozen"/>
      <selection activeCell="A114" sqref="A114:XFD114"/>
      <selection pane="bottomLeft" activeCell="J156" sqref="J156"/>
    </sheetView>
  </sheetViews>
  <sheetFormatPr defaultColWidth="9.140625" defaultRowHeight="12.75" x14ac:dyDescent="0.2"/>
  <cols>
    <col min="1" max="1" width="5.5703125" style="29" customWidth="1"/>
    <col min="2" max="2" width="8.7109375" style="29" customWidth="1"/>
    <col min="3" max="3" width="5" style="29" customWidth="1"/>
    <col min="4" max="4" width="22.7109375" style="29" customWidth="1"/>
    <col min="5" max="5" width="13.7109375" style="29" customWidth="1"/>
    <col min="6" max="6" width="5.7109375" style="29" customWidth="1"/>
    <col min="7" max="8" width="5.5703125" style="29" customWidth="1"/>
    <col min="9" max="10" width="7.28515625" style="29" customWidth="1"/>
    <col min="11" max="12" width="5.7109375" style="29" customWidth="1"/>
    <col min="13" max="16" width="6.85546875" style="29" customWidth="1"/>
    <col min="17" max="21" width="7.28515625" style="29" customWidth="1"/>
    <col min="22" max="16384" width="9.140625" style="29"/>
  </cols>
  <sheetData>
    <row r="1" spans="1:21" ht="29.25" customHeight="1" x14ac:dyDescent="0.3">
      <c r="C1" s="445"/>
      <c r="J1" s="446"/>
      <c r="K1" s="446"/>
      <c r="L1" s="446"/>
      <c r="M1" s="446"/>
      <c r="N1" s="446"/>
      <c r="O1" s="446"/>
      <c r="P1" s="446"/>
      <c r="Q1" s="132" t="s">
        <v>98</v>
      </c>
    </row>
    <row r="2" spans="1:21" ht="21.75" customHeight="1" x14ac:dyDescent="0.25">
      <c r="C2" s="447"/>
      <c r="J2" s="446"/>
      <c r="K2" s="446"/>
      <c r="L2" s="446"/>
      <c r="M2" s="446"/>
      <c r="N2" s="446"/>
      <c r="O2" s="446"/>
      <c r="P2" s="446"/>
    </row>
    <row r="3" spans="1:21" ht="16.5" customHeight="1" x14ac:dyDescent="0.2">
      <c r="C3" s="448"/>
      <c r="J3" s="446"/>
      <c r="K3" s="446"/>
      <c r="L3" s="446"/>
      <c r="M3" s="446"/>
      <c r="N3" s="446"/>
      <c r="O3" s="446"/>
      <c r="P3" s="446"/>
    </row>
    <row r="4" spans="1:21" ht="21.75" customHeight="1" x14ac:dyDescent="0.2">
      <c r="C4" s="448"/>
      <c r="J4" s="446"/>
      <c r="K4" s="446"/>
      <c r="L4" s="446"/>
      <c r="M4" s="446"/>
      <c r="N4" s="446"/>
      <c r="O4" s="446"/>
      <c r="P4" s="446"/>
    </row>
    <row r="5" spans="1:21" ht="23.25" customHeight="1" x14ac:dyDescent="0.2">
      <c r="C5" s="473" t="s">
        <v>671</v>
      </c>
      <c r="D5" s="474"/>
      <c r="E5" s="474"/>
      <c r="J5" s="446"/>
      <c r="K5" s="446"/>
      <c r="L5" s="446"/>
      <c r="M5" s="446"/>
      <c r="N5" s="446"/>
      <c r="O5" s="446"/>
      <c r="P5" s="446"/>
    </row>
    <row r="6" spans="1:21" s="16" customFormat="1" ht="15.6" customHeight="1" x14ac:dyDescent="0.2">
      <c r="A6" s="616" t="s">
        <v>65</v>
      </c>
      <c r="B6" s="619" t="s">
        <v>288</v>
      </c>
      <c r="C6" s="653" t="s">
        <v>118</v>
      </c>
      <c r="D6" s="623" t="s">
        <v>66</v>
      </c>
      <c r="E6" s="655" t="s">
        <v>217</v>
      </c>
      <c r="F6" s="616" t="s">
        <v>22</v>
      </c>
      <c r="G6" s="624" t="s">
        <v>71</v>
      </c>
      <c r="H6" s="625"/>
      <c r="I6" s="650" t="s">
        <v>69</v>
      </c>
      <c r="J6" s="650" t="s">
        <v>169</v>
      </c>
      <c r="K6" s="626" t="s">
        <v>86</v>
      </c>
      <c r="L6" s="626"/>
      <c r="M6" s="660" t="s">
        <v>665</v>
      </c>
      <c r="N6" s="661"/>
      <c r="O6" s="661"/>
      <c r="P6" s="661"/>
      <c r="Q6" s="661"/>
      <c r="R6" s="661"/>
      <c r="S6" s="661"/>
      <c r="T6" s="661"/>
      <c r="U6" s="662"/>
    </row>
    <row r="7" spans="1:21" s="16" customFormat="1" ht="73.5" customHeight="1" x14ac:dyDescent="0.2">
      <c r="A7" s="616"/>
      <c r="B7" s="620"/>
      <c r="C7" s="654"/>
      <c r="D7" s="623"/>
      <c r="E7" s="655"/>
      <c r="F7" s="616"/>
      <c r="G7" s="313" t="s">
        <v>81</v>
      </c>
      <c r="H7" s="313" t="s">
        <v>82</v>
      </c>
      <c r="I7" s="650"/>
      <c r="J7" s="650"/>
      <c r="K7" s="271" t="s">
        <v>108</v>
      </c>
      <c r="L7" s="271" t="s">
        <v>109</v>
      </c>
      <c r="M7" s="539" t="s">
        <v>136</v>
      </c>
      <c r="N7" s="539" t="s">
        <v>110</v>
      </c>
      <c r="O7" s="539" t="s">
        <v>155</v>
      </c>
      <c r="P7" s="539" t="s">
        <v>165</v>
      </c>
      <c r="Q7" s="539" t="s">
        <v>164</v>
      </c>
      <c r="R7" s="539" t="s">
        <v>156</v>
      </c>
      <c r="S7" s="539" t="s">
        <v>184</v>
      </c>
      <c r="T7" s="539" t="s">
        <v>170</v>
      </c>
      <c r="U7" s="540" t="s">
        <v>651</v>
      </c>
    </row>
    <row r="8" spans="1:21" x14ac:dyDescent="0.2">
      <c r="A8" s="218" t="s">
        <v>1435</v>
      </c>
      <c r="B8" s="218" t="s">
        <v>218</v>
      </c>
      <c r="C8" s="449" t="s">
        <v>68</v>
      </c>
      <c r="D8" s="450" t="s">
        <v>328</v>
      </c>
      <c r="E8" s="450" t="s">
        <v>407</v>
      </c>
      <c r="F8" s="451">
        <f>G8+H8</f>
        <v>11</v>
      </c>
      <c r="G8" s="451">
        <f>'5-Majors by Track'!G8</f>
        <v>9</v>
      </c>
      <c r="H8" s="451">
        <f>'5-Majors by Track'!H8</f>
        <v>2</v>
      </c>
      <c r="I8" s="452">
        <f t="shared" ref="I8:I32" si="0">F8/$F$149</f>
        <v>3.7137069547602971E-3</v>
      </c>
      <c r="J8" s="452">
        <f t="shared" ref="J8:J32" si="1">F8/$F$147</f>
        <v>4.121393780442113E-3</v>
      </c>
      <c r="K8" s="451">
        <v>8</v>
      </c>
      <c r="L8" s="451">
        <v>3</v>
      </c>
      <c r="M8" s="451">
        <v>5</v>
      </c>
      <c r="N8" s="451">
        <v>3</v>
      </c>
      <c r="O8" s="451">
        <v>2</v>
      </c>
      <c r="P8" s="451">
        <v>1</v>
      </c>
      <c r="Q8" s="451">
        <v>0</v>
      </c>
      <c r="R8" s="451">
        <v>0</v>
      </c>
      <c r="S8" s="451">
        <v>0</v>
      </c>
      <c r="T8" s="451">
        <v>0</v>
      </c>
      <c r="U8" s="451">
        <v>0</v>
      </c>
    </row>
    <row r="9" spans="1:21" x14ac:dyDescent="0.2">
      <c r="A9" s="218" t="s">
        <v>1435</v>
      </c>
      <c r="B9" s="218" t="s">
        <v>218</v>
      </c>
      <c r="C9" s="449" t="s">
        <v>68</v>
      </c>
      <c r="D9" s="450" t="s">
        <v>372</v>
      </c>
      <c r="E9" s="450" t="s">
        <v>655</v>
      </c>
      <c r="F9" s="451">
        <f t="shared" ref="F9:F32" si="2">G9+H9</f>
        <v>8</v>
      </c>
      <c r="G9" s="451">
        <f>'5-Majors by Track'!G9</f>
        <v>8</v>
      </c>
      <c r="H9" s="451">
        <f>'5-Majors by Track'!H9</f>
        <v>0</v>
      </c>
      <c r="I9" s="452">
        <f t="shared" si="0"/>
        <v>2.7008777852802163E-3</v>
      </c>
      <c r="J9" s="452">
        <f t="shared" si="1"/>
        <v>2.9973772948669914E-3</v>
      </c>
      <c r="K9" s="451">
        <v>4</v>
      </c>
      <c r="L9" s="451">
        <v>4</v>
      </c>
      <c r="M9" s="451">
        <v>8</v>
      </c>
      <c r="N9" s="451">
        <v>0</v>
      </c>
      <c r="O9" s="451">
        <v>0</v>
      </c>
      <c r="P9" s="451">
        <v>0</v>
      </c>
      <c r="Q9" s="451">
        <v>0</v>
      </c>
      <c r="R9" s="451">
        <v>0</v>
      </c>
      <c r="S9" s="451">
        <v>0</v>
      </c>
      <c r="T9" s="451">
        <v>0</v>
      </c>
      <c r="U9" s="451">
        <v>0</v>
      </c>
    </row>
    <row r="10" spans="1:21" x14ac:dyDescent="0.2">
      <c r="A10" s="218" t="s">
        <v>1435</v>
      </c>
      <c r="B10" s="218" t="s">
        <v>218</v>
      </c>
      <c r="C10" s="449" t="s">
        <v>68</v>
      </c>
      <c r="D10" s="450" t="s">
        <v>372</v>
      </c>
      <c r="E10" s="450" t="s">
        <v>656</v>
      </c>
      <c r="F10" s="451">
        <f t="shared" si="2"/>
        <v>10</v>
      </c>
      <c r="G10" s="451">
        <f>'5-Majors by Track'!G10</f>
        <v>8</v>
      </c>
      <c r="H10" s="451">
        <f>'5-Majors by Track'!H10</f>
        <v>2</v>
      </c>
      <c r="I10" s="452">
        <f t="shared" si="0"/>
        <v>3.37609723160027E-3</v>
      </c>
      <c r="J10" s="452">
        <f t="shared" si="1"/>
        <v>3.7467216185837391E-3</v>
      </c>
      <c r="K10" s="451">
        <v>6</v>
      </c>
      <c r="L10" s="451">
        <v>4</v>
      </c>
      <c r="M10" s="451">
        <v>10</v>
      </c>
      <c r="N10" s="451">
        <v>0</v>
      </c>
      <c r="O10" s="451">
        <v>0</v>
      </c>
      <c r="P10" s="451">
        <v>0</v>
      </c>
      <c r="Q10" s="451">
        <v>0</v>
      </c>
      <c r="R10" s="451">
        <v>0</v>
      </c>
      <c r="S10" s="451">
        <v>0</v>
      </c>
      <c r="T10" s="451">
        <v>0</v>
      </c>
      <c r="U10" s="451">
        <v>0</v>
      </c>
    </row>
    <row r="11" spans="1:21" x14ac:dyDescent="0.2">
      <c r="A11" s="218" t="s">
        <v>1435</v>
      </c>
      <c r="B11" s="218" t="s">
        <v>218</v>
      </c>
      <c r="C11" s="449" t="s">
        <v>68</v>
      </c>
      <c r="D11" s="450" t="s">
        <v>360</v>
      </c>
      <c r="E11" s="450" t="s">
        <v>653</v>
      </c>
      <c r="F11" s="451">
        <f t="shared" si="2"/>
        <v>8</v>
      </c>
      <c r="G11" s="451">
        <f>'5-Majors by Track'!G11</f>
        <v>5</v>
      </c>
      <c r="H11" s="451">
        <f>'5-Majors by Track'!H11</f>
        <v>3</v>
      </c>
      <c r="I11" s="452">
        <f t="shared" si="0"/>
        <v>2.7008777852802163E-3</v>
      </c>
      <c r="J11" s="452">
        <f t="shared" si="1"/>
        <v>2.9973772948669914E-3</v>
      </c>
      <c r="K11" s="451">
        <v>8</v>
      </c>
      <c r="L11" s="451">
        <v>0</v>
      </c>
      <c r="M11" s="451">
        <v>4</v>
      </c>
      <c r="N11" s="451">
        <v>3</v>
      </c>
      <c r="O11" s="451">
        <v>0</v>
      </c>
      <c r="P11" s="451">
        <v>0</v>
      </c>
      <c r="Q11" s="451">
        <v>1</v>
      </c>
      <c r="R11" s="451">
        <v>0</v>
      </c>
      <c r="S11" s="451">
        <v>0</v>
      </c>
      <c r="T11" s="451">
        <v>0</v>
      </c>
      <c r="U11" s="451">
        <v>0</v>
      </c>
    </row>
    <row r="12" spans="1:21" x14ac:dyDescent="0.2">
      <c r="A12" s="218" t="s">
        <v>1435</v>
      </c>
      <c r="B12" s="218" t="s">
        <v>218</v>
      </c>
      <c r="C12" s="449" t="s">
        <v>68</v>
      </c>
      <c r="D12" s="450" t="s">
        <v>360</v>
      </c>
      <c r="E12" s="450" t="s">
        <v>1438</v>
      </c>
      <c r="F12" s="451">
        <f t="shared" si="2"/>
        <v>1</v>
      </c>
      <c r="G12" s="451">
        <f>'5-Majors by Track'!G12</f>
        <v>1</v>
      </c>
      <c r="H12" s="451">
        <f>'5-Majors by Track'!H12</f>
        <v>0</v>
      </c>
      <c r="I12" s="452">
        <f t="shared" si="0"/>
        <v>3.3760972316002703E-4</v>
      </c>
      <c r="J12" s="452">
        <f t="shared" si="1"/>
        <v>3.7467216185837392E-4</v>
      </c>
      <c r="K12" s="451">
        <v>1</v>
      </c>
      <c r="L12" s="451">
        <v>0</v>
      </c>
      <c r="M12" s="451">
        <v>0</v>
      </c>
      <c r="N12" s="451">
        <v>1</v>
      </c>
      <c r="O12" s="451">
        <v>0</v>
      </c>
      <c r="P12" s="451">
        <v>0</v>
      </c>
      <c r="Q12" s="451">
        <v>0</v>
      </c>
      <c r="R12" s="451">
        <v>0</v>
      </c>
      <c r="S12" s="451">
        <v>0</v>
      </c>
      <c r="T12" s="451">
        <v>0</v>
      </c>
      <c r="U12" s="451">
        <v>0</v>
      </c>
    </row>
    <row r="13" spans="1:21" x14ac:dyDescent="0.2">
      <c r="A13" s="218" t="s">
        <v>1435</v>
      </c>
      <c r="B13" s="218" t="s">
        <v>218</v>
      </c>
      <c r="C13" s="449" t="s">
        <v>68</v>
      </c>
      <c r="D13" s="450" t="s">
        <v>360</v>
      </c>
      <c r="E13" s="450" t="s">
        <v>408</v>
      </c>
      <c r="F13" s="451">
        <f t="shared" si="2"/>
        <v>6</v>
      </c>
      <c r="G13" s="451">
        <f>'5-Majors by Track'!G13</f>
        <v>4</v>
      </c>
      <c r="H13" s="451">
        <f>'5-Majors by Track'!H13</f>
        <v>2</v>
      </c>
      <c r="I13" s="452">
        <f t="shared" si="0"/>
        <v>2.0256583389601621E-3</v>
      </c>
      <c r="J13" s="452">
        <f t="shared" si="1"/>
        <v>2.2480329711502436E-3</v>
      </c>
      <c r="K13" s="451">
        <v>4</v>
      </c>
      <c r="L13" s="451">
        <v>2</v>
      </c>
      <c r="M13" s="451">
        <v>4</v>
      </c>
      <c r="N13" s="451">
        <v>1</v>
      </c>
      <c r="O13" s="451">
        <v>0</v>
      </c>
      <c r="P13" s="451">
        <v>0</v>
      </c>
      <c r="Q13" s="451">
        <v>0</v>
      </c>
      <c r="R13" s="451">
        <v>0</v>
      </c>
      <c r="S13" s="451">
        <v>0</v>
      </c>
      <c r="T13" s="451">
        <v>1</v>
      </c>
      <c r="U13" s="451">
        <v>0</v>
      </c>
    </row>
    <row r="14" spans="1:21" x14ac:dyDescent="0.2">
      <c r="A14" s="218" t="s">
        <v>1435</v>
      </c>
      <c r="B14" s="218" t="s">
        <v>218</v>
      </c>
      <c r="C14" s="449" t="s">
        <v>68</v>
      </c>
      <c r="D14" s="450" t="s">
        <v>360</v>
      </c>
      <c r="E14" s="450" t="s">
        <v>654</v>
      </c>
      <c r="F14" s="451">
        <f t="shared" si="2"/>
        <v>16</v>
      </c>
      <c r="G14" s="451">
        <f>'5-Majors by Track'!G14</f>
        <v>10</v>
      </c>
      <c r="H14" s="451">
        <f>'5-Majors by Track'!H14</f>
        <v>6</v>
      </c>
      <c r="I14" s="452">
        <f t="shared" si="0"/>
        <v>5.4017555705604325E-3</v>
      </c>
      <c r="J14" s="452">
        <f t="shared" si="1"/>
        <v>5.9947545897339827E-3</v>
      </c>
      <c r="K14" s="451">
        <v>14</v>
      </c>
      <c r="L14" s="451">
        <v>2</v>
      </c>
      <c r="M14" s="451">
        <v>5</v>
      </c>
      <c r="N14" s="451">
        <v>9</v>
      </c>
      <c r="O14" s="451">
        <v>0</v>
      </c>
      <c r="P14" s="451">
        <v>1</v>
      </c>
      <c r="Q14" s="451">
        <v>0</v>
      </c>
      <c r="R14" s="451">
        <v>1</v>
      </c>
      <c r="S14" s="451">
        <v>0</v>
      </c>
      <c r="T14" s="451">
        <v>0</v>
      </c>
      <c r="U14" s="451">
        <v>0</v>
      </c>
    </row>
    <row r="15" spans="1:21" x14ac:dyDescent="0.2">
      <c r="A15" s="218" t="s">
        <v>1435</v>
      </c>
      <c r="B15" s="218" t="s">
        <v>218</v>
      </c>
      <c r="C15" s="449" t="s">
        <v>68</v>
      </c>
      <c r="D15" s="450" t="s">
        <v>360</v>
      </c>
      <c r="E15" s="450" t="s">
        <v>1439</v>
      </c>
      <c r="F15" s="451">
        <f t="shared" si="2"/>
        <v>1</v>
      </c>
      <c r="G15" s="451">
        <f>'5-Majors by Track'!G15</f>
        <v>1</v>
      </c>
      <c r="H15" s="451">
        <f>'5-Majors by Track'!H15</f>
        <v>0</v>
      </c>
      <c r="I15" s="452">
        <f t="shared" si="0"/>
        <v>3.3760972316002703E-4</v>
      </c>
      <c r="J15" s="452">
        <f t="shared" si="1"/>
        <v>3.7467216185837392E-4</v>
      </c>
      <c r="K15" s="451">
        <v>1</v>
      </c>
      <c r="L15" s="451">
        <v>0</v>
      </c>
      <c r="M15" s="451">
        <v>0</v>
      </c>
      <c r="N15" s="451">
        <v>1</v>
      </c>
      <c r="O15" s="451">
        <v>0</v>
      </c>
      <c r="P15" s="451">
        <v>0</v>
      </c>
      <c r="Q15" s="451">
        <v>0</v>
      </c>
      <c r="R15" s="451">
        <v>0</v>
      </c>
      <c r="S15" s="451">
        <v>0</v>
      </c>
      <c r="T15" s="451">
        <v>0</v>
      </c>
      <c r="U15" s="451">
        <v>0</v>
      </c>
    </row>
    <row r="16" spans="1:21" x14ac:dyDescent="0.2">
      <c r="A16" s="218" t="s">
        <v>1435</v>
      </c>
      <c r="B16" s="218" t="s">
        <v>218</v>
      </c>
      <c r="C16" s="449" t="s">
        <v>68</v>
      </c>
      <c r="D16" s="450" t="s">
        <v>360</v>
      </c>
      <c r="E16" s="218" t="s">
        <v>409</v>
      </c>
      <c r="F16" s="451">
        <f t="shared" si="2"/>
        <v>13</v>
      </c>
      <c r="G16" s="451">
        <f>'5-Majors by Track'!G16</f>
        <v>5</v>
      </c>
      <c r="H16" s="451">
        <f>'5-Majors by Track'!H16</f>
        <v>8</v>
      </c>
      <c r="I16" s="452">
        <f t="shared" si="0"/>
        <v>4.3889264010803508E-3</v>
      </c>
      <c r="J16" s="452">
        <f t="shared" si="1"/>
        <v>4.8707381041588607E-3</v>
      </c>
      <c r="K16" s="451">
        <v>11</v>
      </c>
      <c r="L16" s="451">
        <v>2</v>
      </c>
      <c r="M16" s="451">
        <v>4</v>
      </c>
      <c r="N16" s="451">
        <v>9</v>
      </c>
      <c r="O16" s="451">
        <v>0</v>
      </c>
      <c r="P16" s="451">
        <v>0</v>
      </c>
      <c r="Q16" s="451">
        <v>0</v>
      </c>
      <c r="R16" s="451">
        <v>0</v>
      </c>
      <c r="S16" s="451">
        <v>0</v>
      </c>
      <c r="T16" s="451">
        <v>0</v>
      </c>
      <c r="U16" s="451">
        <v>0</v>
      </c>
    </row>
    <row r="17" spans="1:21" x14ac:dyDescent="0.2">
      <c r="A17" s="218" t="s">
        <v>1435</v>
      </c>
      <c r="B17" s="218" t="s">
        <v>218</v>
      </c>
      <c r="C17" s="449" t="s">
        <v>68</v>
      </c>
      <c r="D17" s="450" t="s">
        <v>360</v>
      </c>
      <c r="E17" s="450" t="s">
        <v>410</v>
      </c>
      <c r="F17" s="451">
        <f t="shared" si="2"/>
        <v>1</v>
      </c>
      <c r="G17" s="451">
        <f>'5-Majors by Track'!G17</f>
        <v>1</v>
      </c>
      <c r="H17" s="451">
        <f>'5-Majors by Track'!H17</f>
        <v>0</v>
      </c>
      <c r="I17" s="452">
        <f t="shared" si="0"/>
        <v>3.3760972316002703E-4</v>
      </c>
      <c r="J17" s="452">
        <f t="shared" si="1"/>
        <v>3.7467216185837392E-4</v>
      </c>
      <c r="K17" s="451">
        <v>1</v>
      </c>
      <c r="L17" s="451">
        <v>0</v>
      </c>
      <c r="M17" s="451">
        <v>0</v>
      </c>
      <c r="N17" s="451">
        <v>1</v>
      </c>
      <c r="O17" s="451">
        <v>0</v>
      </c>
      <c r="P17" s="451">
        <v>0</v>
      </c>
      <c r="Q17" s="451">
        <v>0</v>
      </c>
      <c r="R17" s="451">
        <v>0</v>
      </c>
      <c r="S17" s="451">
        <v>0</v>
      </c>
      <c r="T17" s="451">
        <v>0</v>
      </c>
      <c r="U17" s="451">
        <v>0</v>
      </c>
    </row>
    <row r="18" spans="1:21" x14ac:dyDescent="0.2">
      <c r="A18" s="218" t="s">
        <v>1435</v>
      </c>
      <c r="B18" s="218" t="s">
        <v>218</v>
      </c>
      <c r="C18" s="449" t="s">
        <v>68</v>
      </c>
      <c r="D18" s="450" t="s">
        <v>360</v>
      </c>
      <c r="E18" s="450" t="s">
        <v>411</v>
      </c>
      <c r="F18" s="451">
        <f t="shared" si="2"/>
        <v>5</v>
      </c>
      <c r="G18" s="451">
        <f>'5-Majors by Track'!G18</f>
        <v>3</v>
      </c>
      <c r="H18" s="451">
        <f>'5-Majors by Track'!H18</f>
        <v>2</v>
      </c>
      <c r="I18" s="452">
        <f t="shared" si="0"/>
        <v>1.688048615800135E-3</v>
      </c>
      <c r="J18" s="452">
        <f t="shared" si="1"/>
        <v>1.8733608092918695E-3</v>
      </c>
      <c r="K18" s="451">
        <v>5</v>
      </c>
      <c r="L18" s="451">
        <v>0</v>
      </c>
      <c r="M18" s="451">
        <v>2</v>
      </c>
      <c r="N18" s="451">
        <v>1</v>
      </c>
      <c r="O18" s="451">
        <v>0</v>
      </c>
      <c r="P18" s="451">
        <v>0</v>
      </c>
      <c r="Q18" s="451">
        <v>1</v>
      </c>
      <c r="R18" s="451">
        <v>0</v>
      </c>
      <c r="S18" s="451">
        <v>0</v>
      </c>
      <c r="T18" s="451">
        <v>1</v>
      </c>
      <c r="U18" s="451">
        <v>0</v>
      </c>
    </row>
    <row r="19" spans="1:21" x14ac:dyDescent="0.2">
      <c r="A19" s="218" t="s">
        <v>1435</v>
      </c>
      <c r="B19" s="218" t="s">
        <v>218</v>
      </c>
      <c r="C19" s="449" t="s">
        <v>68</v>
      </c>
      <c r="D19" s="450" t="s">
        <v>371</v>
      </c>
      <c r="E19" s="450" t="s">
        <v>657</v>
      </c>
      <c r="F19" s="451">
        <f t="shared" si="2"/>
        <v>10</v>
      </c>
      <c r="G19" s="451">
        <f>'5-Majors by Track'!G19</f>
        <v>6</v>
      </c>
      <c r="H19" s="451">
        <f>'5-Majors by Track'!H19</f>
        <v>4</v>
      </c>
      <c r="I19" s="452">
        <f t="shared" si="0"/>
        <v>3.37609723160027E-3</v>
      </c>
      <c r="J19" s="452">
        <f t="shared" si="1"/>
        <v>3.7467216185837391E-3</v>
      </c>
      <c r="K19" s="451">
        <v>9</v>
      </c>
      <c r="L19" s="451">
        <v>1</v>
      </c>
      <c r="M19" s="451">
        <v>1</v>
      </c>
      <c r="N19" s="451">
        <v>7</v>
      </c>
      <c r="O19" s="451">
        <v>0</v>
      </c>
      <c r="P19" s="451">
        <v>0</v>
      </c>
      <c r="Q19" s="451">
        <v>0</v>
      </c>
      <c r="R19" s="451">
        <v>1</v>
      </c>
      <c r="S19" s="451">
        <v>0</v>
      </c>
      <c r="T19" s="451">
        <v>1</v>
      </c>
      <c r="U19" s="451">
        <v>0</v>
      </c>
    </row>
    <row r="20" spans="1:21" x14ac:dyDescent="0.2">
      <c r="A20" s="218" t="s">
        <v>1435</v>
      </c>
      <c r="B20" s="218" t="s">
        <v>218</v>
      </c>
      <c r="C20" s="449" t="s">
        <v>68</v>
      </c>
      <c r="D20" s="450" t="s">
        <v>371</v>
      </c>
      <c r="E20" s="450" t="s">
        <v>412</v>
      </c>
      <c r="F20" s="451">
        <f t="shared" si="2"/>
        <v>8</v>
      </c>
      <c r="G20" s="451">
        <f>'5-Majors by Track'!G20</f>
        <v>5</v>
      </c>
      <c r="H20" s="451">
        <f>'5-Majors by Track'!H20</f>
        <v>3</v>
      </c>
      <c r="I20" s="452">
        <f t="shared" si="0"/>
        <v>2.7008777852802163E-3</v>
      </c>
      <c r="J20" s="452">
        <f t="shared" si="1"/>
        <v>2.9973772948669914E-3</v>
      </c>
      <c r="K20" s="451">
        <v>5</v>
      </c>
      <c r="L20" s="451">
        <v>3</v>
      </c>
      <c r="M20" s="451">
        <v>1</v>
      </c>
      <c r="N20" s="451">
        <v>6</v>
      </c>
      <c r="O20" s="451">
        <v>0</v>
      </c>
      <c r="P20" s="451">
        <v>0</v>
      </c>
      <c r="Q20" s="451">
        <v>0</v>
      </c>
      <c r="R20" s="451">
        <v>1</v>
      </c>
      <c r="S20" s="451">
        <v>0</v>
      </c>
      <c r="T20" s="451">
        <v>0</v>
      </c>
      <c r="U20" s="451">
        <v>0</v>
      </c>
    </row>
    <row r="21" spans="1:21" x14ac:dyDescent="0.2">
      <c r="A21" s="218" t="s">
        <v>1435</v>
      </c>
      <c r="B21" s="218" t="s">
        <v>218</v>
      </c>
      <c r="C21" s="449" t="s">
        <v>68</v>
      </c>
      <c r="D21" s="450" t="s">
        <v>371</v>
      </c>
      <c r="E21" s="450" t="s">
        <v>413</v>
      </c>
      <c r="F21" s="451">
        <f t="shared" si="2"/>
        <v>20</v>
      </c>
      <c r="G21" s="451">
        <f>'5-Majors by Track'!G21</f>
        <v>10</v>
      </c>
      <c r="H21" s="451">
        <f>'5-Majors by Track'!H21</f>
        <v>10</v>
      </c>
      <c r="I21" s="452">
        <f t="shared" si="0"/>
        <v>6.75219446320054E-3</v>
      </c>
      <c r="J21" s="452">
        <f t="shared" si="1"/>
        <v>7.4934432371674782E-3</v>
      </c>
      <c r="K21" s="451">
        <v>12</v>
      </c>
      <c r="L21" s="451">
        <v>8</v>
      </c>
      <c r="M21" s="451">
        <v>11</v>
      </c>
      <c r="N21" s="451">
        <v>8</v>
      </c>
      <c r="O21" s="451">
        <v>1</v>
      </c>
      <c r="P21" s="451">
        <v>0</v>
      </c>
      <c r="Q21" s="451">
        <v>0</v>
      </c>
      <c r="R21" s="451">
        <v>0</v>
      </c>
      <c r="S21" s="451">
        <v>0</v>
      </c>
      <c r="T21" s="451">
        <v>0</v>
      </c>
      <c r="U21" s="451">
        <v>0</v>
      </c>
    </row>
    <row r="22" spans="1:21" x14ac:dyDescent="0.2">
      <c r="A22" s="218" t="s">
        <v>1435</v>
      </c>
      <c r="B22" s="218" t="s">
        <v>218</v>
      </c>
      <c r="C22" s="449" t="s">
        <v>68</v>
      </c>
      <c r="D22" s="450" t="s">
        <v>362</v>
      </c>
      <c r="E22" s="450" t="s">
        <v>414</v>
      </c>
      <c r="F22" s="451">
        <f t="shared" si="2"/>
        <v>45</v>
      </c>
      <c r="G22" s="451">
        <f>'5-Majors by Track'!G22</f>
        <v>25</v>
      </c>
      <c r="H22" s="451">
        <f>'5-Majors by Track'!H22</f>
        <v>20</v>
      </c>
      <c r="I22" s="452">
        <f t="shared" si="0"/>
        <v>1.5192437542201216E-2</v>
      </c>
      <c r="J22" s="452">
        <f t="shared" si="1"/>
        <v>1.6860247283626825E-2</v>
      </c>
      <c r="K22" s="451">
        <v>36</v>
      </c>
      <c r="L22" s="451">
        <v>9</v>
      </c>
      <c r="M22" s="451">
        <v>16</v>
      </c>
      <c r="N22" s="451">
        <v>21</v>
      </c>
      <c r="O22" s="451">
        <v>0</v>
      </c>
      <c r="P22" s="451">
        <v>2</v>
      </c>
      <c r="Q22" s="451">
        <v>0</v>
      </c>
      <c r="R22" s="451">
        <v>6</v>
      </c>
      <c r="S22" s="451">
        <v>0</v>
      </c>
      <c r="T22" s="451">
        <v>0</v>
      </c>
      <c r="U22" s="451">
        <v>0</v>
      </c>
    </row>
    <row r="23" spans="1:21" x14ac:dyDescent="0.2">
      <c r="A23" s="218" t="s">
        <v>1435</v>
      </c>
      <c r="B23" s="218" t="s">
        <v>218</v>
      </c>
      <c r="C23" s="449" t="s">
        <v>68</v>
      </c>
      <c r="D23" s="450" t="s">
        <v>363</v>
      </c>
      <c r="E23" s="450" t="s">
        <v>415</v>
      </c>
      <c r="F23" s="451">
        <f t="shared" si="2"/>
        <v>10</v>
      </c>
      <c r="G23" s="451">
        <f>'5-Majors by Track'!G23</f>
        <v>3</v>
      </c>
      <c r="H23" s="451">
        <f>'5-Majors by Track'!H23</f>
        <v>7</v>
      </c>
      <c r="I23" s="452">
        <f t="shared" si="0"/>
        <v>3.37609723160027E-3</v>
      </c>
      <c r="J23" s="452">
        <f t="shared" si="1"/>
        <v>3.7467216185837391E-3</v>
      </c>
      <c r="K23" s="451">
        <v>4</v>
      </c>
      <c r="L23" s="451">
        <v>6</v>
      </c>
      <c r="M23" s="451">
        <v>3</v>
      </c>
      <c r="N23" s="451">
        <v>7</v>
      </c>
      <c r="O23" s="451">
        <v>0</v>
      </c>
      <c r="P23" s="451">
        <v>0</v>
      </c>
      <c r="Q23" s="451">
        <v>0</v>
      </c>
      <c r="R23" s="451">
        <v>0</v>
      </c>
      <c r="S23" s="451">
        <v>0</v>
      </c>
      <c r="T23" s="451">
        <v>0</v>
      </c>
      <c r="U23" s="451">
        <v>0</v>
      </c>
    </row>
    <row r="24" spans="1:21" x14ac:dyDescent="0.2">
      <c r="A24" s="218" t="s">
        <v>1435</v>
      </c>
      <c r="B24" s="218" t="s">
        <v>218</v>
      </c>
      <c r="C24" s="449" t="s">
        <v>68</v>
      </c>
      <c r="D24" s="450" t="s">
        <v>364</v>
      </c>
      <c r="E24" s="450" t="s">
        <v>416</v>
      </c>
      <c r="F24" s="451">
        <f t="shared" si="2"/>
        <v>8</v>
      </c>
      <c r="G24" s="451">
        <f>'5-Majors by Track'!G24</f>
        <v>2</v>
      </c>
      <c r="H24" s="451">
        <f>'5-Majors by Track'!H24</f>
        <v>6</v>
      </c>
      <c r="I24" s="452">
        <f t="shared" si="0"/>
        <v>2.7008777852802163E-3</v>
      </c>
      <c r="J24" s="452">
        <f t="shared" si="1"/>
        <v>2.9973772948669914E-3</v>
      </c>
      <c r="K24" s="451">
        <v>3</v>
      </c>
      <c r="L24" s="451">
        <v>5</v>
      </c>
      <c r="M24" s="451">
        <v>2</v>
      </c>
      <c r="N24" s="451">
        <v>6</v>
      </c>
      <c r="O24" s="451">
        <v>0</v>
      </c>
      <c r="P24" s="451">
        <v>0</v>
      </c>
      <c r="Q24" s="451">
        <v>0</v>
      </c>
      <c r="R24" s="451">
        <v>0</v>
      </c>
      <c r="S24" s="451">
        <v>0</v>
      </c>
      <c r="T24" s="451">
        <v>0</v>
      </c>
      <c r="U24" s="451">
        <v>0</v>
      </c>
    </row>
    <row r="25" spans="1:21" x14ac:dyDescent="0.2">
      <c r="A25" s="218" t="s">
        <v>1435</v>
      </c>
      <c r="B25" s="218" t="s">
        <v>218</v>
      </c>
      <c r="C25" s="449" t="s">
        <v>68</v>
      </c>
      <c r="D25" s="450" t="s">
        <v>365</v>
      </c>
      <c r="E25" s="450" t="s">
        <v>417</v>
      </c>
      <c r="F25" s="451">
        <f t="shared" si="2"/>
        <v>1</v>
      </c>
      <c r="G25" s="451">
        <f>'5-Majors by Track'!G25</f>
        <v>0</v>
      </c>
      <c r="H25" s="451">
        <f>'5-Majors by Track'!H25</f>
        <v>1</v>
      </c>
      <c r="I25" s="452">
        <f t="shared" si="0"/>
        <v>3.3760972316002703E-4</v>
      </c>
      <c r="J25" s="452">
        <f t="shared" si="1"/>
        <v>3.7467216185837392E-4</v>
      </c>
      <c r="K25" s="451">
        <v>0</v>
      </c>
      <c r="L25" s="451">
        <v>1</v>
      </c>
      <c r="M25" s="451">
        <v>0</v>
      </c>
      <c r="N25" s="451">
        <v>1</v>
      </c>
      <c r="O25" s="451">
        <v>0</v>
      </c>
      <c r="P25" s="451">
        <v>0</v>
      </c>
      <c r="Q25" s="451">
        <v>0</v>
      </c>
      <c r="R25" s="451">
        <v>0</v>
      </c>
      <c r="S25" s="451">
        <v>0</v>
      </c>
      <c r="T25" s="451">
        <v>0</v>
      </c>
      <c r="U25" s="451">
        <v>0</v>
      </c>
    </row>
    <row r="26" spans="1:21" x14ac:dyDescent="0.2">
      <c r="A26" s="218" t="s">
        <v>1435</v>
      </c>
      <c r="B26" s="218" t="s">
        <v>218</v>
      </c>
      <c r="C26" s="449" t="s">
        <v>68</v>
      </c>
      <c r="D26" s="450" t="s">
        <v>365</v>
      </c>
      <c r="E26" s="450" t="s">
        <v>418</v>
      </c>
      <c r="F26" s="451">
        <f t="shared" si="2"/>
        <v>9</v>
      </c>
      <c r="G26" s="451">
        <f>'5-Majors by Track'!G26</f>
        <v>2</v>
      </c>
      <c r="H26" s="451">
        <f>'5-Majors by Track'!H26</f>
        <v>7</v>
      </c>
      <c r="I26" s="452">
        <f t="shared" si="0"/>
        <v>3.0384875084402429E-3</v>
      </c>
      <c r="J26" s="452">
        <f t="shared" si="1"/>
        <v>3.3720494567253652E-3</v>
      </c>
      <c r="K26" s="451">
        <v>7</v>
      </c>
      <c r="L26" s="451">
        <v>2</v>
      </c>
      <c r="M26" s="451">
        <v>4</v>
      </c>
      <c r="N26" s="451">
        <v>4</v>
      </c>
      <c r="O26" s="451">
        <v>0</v>
      </c>
      <c r="P26" s="451">
        <v>1</v>
      </c>
      <c r="Q26" s="451">
        <v>0</v>
      </c>
      <c r="R26" s="451">
        <v>0</v>
      </c>
      <c r="S26" s="451">
        <v>0</v>
      </c>
      <c r="T26" s="451">
        <v>0</v>
      </c>
      <c r="U26" s="451">
        <v>0</v>
      </c>
    </row>
    <row r="27" spans="1:21" x14ac:dyDescent="0.2">
      <c r="A27" s="218" t="s">
        <v>1435</v>
      </c>
      <c r="B27" s="218" t="s">
        <v>218</v>
      </c>
      <c r="C27" s="449" t="s">
        <v>68</v>
      </c>
      <c r="D27" s="450" t="s">
        <v>366</v>
      </c>
      <c r="E27" s="450" t="s">
        <v>419</v>
      </c>
      <c r="F27" s="451">
        <f t="shared" si="2"/>
        <v>1</v>
      </c>
      <c r="G27" s="451">
        <f>'5-Majors by Track'!G27</f>
        <v>0</v>
      </c>
      <c r="H27" s="451">
        <f>'5-Majors by Track'!H27</f>
        <v>1</v>
      </c>
      <c r="I27" s="452">
        <f t="shared" si="0"/>
        <v>3.3760972316002703E-4</v>
      </c>
      <c r="J27" s="452">
        <f t="shared" si="1"/>
        <v>3.7467216185837392E-4</v>
      </c>
      <c r="K27" s="451">
        <v>0</v>
      </c>
      <c r="L27" s="451">
        <v>1</v>
      </c>
      <c r="M27" s="451">
        <v>1</v>
      </c>
      <c r="N27" s="451">
        <v>0</v>
      </c>
      <c r="O27" s="451">
        <v>0</v>
      </c>
      <c r="P27" s="451">
        <v>0</v>
      </c>
      <c r="Q27" s="451">
        <v>0</v>
      </c>
      <c r="R27" s="451">
        <v>0</v>
      </c>
      <c r="S27" s="451">
        <v>0</v>
      </c>
      <c r="T27" s="451">
        <v>0</v>
      </c>
      <c r="U27" s="451">
        <v>0</v>
      </c>
    </row>
    <row r="28" spans="1:21" x14ac:dyDescent="0.2">
      <c r="A28" s="218" t="s">
        <v>1435</v>
      </c>
      <c r="B28" s="218" t="s">
        <v>218</v>
      </c>
      <c r="C28" s="449" t="s">
        <v>68</v>
      </c>
      <c r="D28" s="450" t="s">
        <v>367</v>
      </c>
      <c r="E28" s="450" t="s">
        <v>407</v>
      </c>
      <c r="F28" s="451">
        <f t="shared" si="2"/>
        <v>6</v>
      </c>
      <c r="G28" s="451">
        <f>'5-Majors by Track'!G28</f>
        <v>4</v>
      </c>
      <c r="H28" s="451">
        <f>'5-Majors by Track'!H28</f>
        <v>2</v>
      </c>
      <c r="I28" s="452">
        <f t="shared" si="0"/>
        <v>2.0256583389601621E-3</v>
      </c>
      <c r="J28" s="452">
        <f t="shared" si="1"/>
        <v>2.2480329711502436E-3</v>
      </c>
      <c r="K28" s="451">
        <v>6</v>
      </c>
      <c r="L28" s="451">
        <v>0</v>
      </c>
      <c r="M28" s="451">
        <v>5</v>
      </c>
      <c r="N28" s="451">
        <v>1</v>
      </c>
      <c r="O28" s="451">
        <v>0</v>
      </c>
      <c r="P28" s="451">
        <v>0</v>
      </c>
      <c r="Q28" s="451">
        <v>0</v>
      </c>
      <c r="R28" s="451">
        <v>0</v>
      </c>
      <c r="S28" s="451">
        <v>0</v>
      </c>
      <c r="T28" s="451">
        <v>0</v>
      </c>
      <c r="U28" s="451">
        <v>0</v>
      </c>
    </row>
    <row r="29" spans="1:21" x14ac:dyDescent="0.2">
      <c r="A29" s="218" t="s">
        <v>1435</v>
      </c>
      <c r="B29" s="218" t="s">
        <v>218</v>
      </c>
      <c r="C29" s="449" t="s">
        <v>68</v>
      </c>
      <c r="D29" s="450" t="s">
        <v>368</v>
      </c>
      <c r="E29" s="450" t="s">
        <v>420</v>
      </c>
      <c r="F29" s="451">
        <f t="shared" si="2"/>
        <v>2</v>
      </c>
      <c r="G29" s="451">
        <f>'5-Majors by Track'!G29</f>
        <v>1</v>
      </c>
      <c r="H29" s="451">
        <f>'5-Majors by Track'!H29</f>
        <v>1</v>
      </c>
      <c r="I29" s="452">
        <f t="shared" si="0"/>
        <v>6.7521944632005406E-4</v>
      </c>
      <c r="J29" s="452">
        <f t="shared" si="1"/>
        <v>7.4934432371674784E-4</v>
      </c>
      <c r="K29" s="451">
        <v>1</v>
      </c>
      <c r="L29" s="451">
        <v>1</v>
      </c>
      <c r="M29" s="451">
        <v>2</v>
      </c>
      <c r="N29" s="451">
        <v>0</v>
      </c>
      <c r="O29" s="451">
        <v>0</v>
      </c>
      <c r="P29" s="451">
        <v>0</v>
      </c>
      <c r="Q29" s="451">
        <v>0</v>
      </c>
      <c r="R29" s="451">
        <v>0</v>
      </c>
      <c r="S29" s="451">
        <v>0</v>
      </c>
      <c r="T29" s="451">
        <v>0</v>
      </c>
      <c r="U29" s="451">
        <v>0</v>
      </c>
    </row>
    <row r="30" spans="1:21" x14ac:dyDescent="0.2">
      <c r="A30" s="218" t="s">
        <v>1435</v>
      </c>
      <c r="B30" s="218" t="s">
        <v>218</v>
      </c>
      <c r="C30" s="449" t="s">
        <v>68</v>
      </c>
      <c r="D30" s="450" t="s">
        <v>368</v>
      </c>
      <c r="E30" s="450" t="s">
        <v>658</v>
      </c>
      <c r="F30" s="451">
        <f t="shared" si="2"/>
        <v>20</v>
      </c>
      <c r="G30" s="451">
        <f>'5-Majors by Track'!G30</f>
        <v>12</v>
      </c>
      <c r="H30" s="451">
        <f>'5-Majors by Track'!H30</f>
        <v>8</v>
      </c>
      <c r="I30" s="452">
        <f t="shared" si="0"/>
        <v>6.75219446320054E-3</v>
      </c>
      <c r="J30" s="452">
        <f t="shared" si="1"/>
        <v>7.4934432371674782E-3</v>
      </c>
      <c r="K30" s="451">
        <v>16</v>
      </c>
      <c r="L30" s="451">
        <v>4</v>
      </c>
      <c r="M30" s="451">
        <v>14</v>
      </c>
      <c r="N30" s="451">
        <v>5</v>
      </c>
      <c r="O30" s="451">
        <v>0</v>
      </c>
      <c r="P30" s="451">
        <v>0</v>
      </c>
      <c r="Q30" s="451">
        <v>0</v>
      </c>
      <c r="R30" s="451">
        <v>1</v>
      </c>
      <c r="S30" s="451">
        <v>0</v>
      </c>
      <c r="T30" s="451">
        <v>0</v>
      </c>
      <c r="U30" s="451">
        <v>0</v>
      </c>
    </row>
    <row r="31" spans="1:21" x14ac:dyDescent="0.2">
      <c r="A31" s="218" t="s">
        <v>1435</v>
      </c>
      <c r="B31" s="218" t="s">
        <v>218</v>
      </c>
      <c r="C31" s="449" t="s">
        <v>68</v>
      </c>
      <c r="D31" s="450" t="s">
        <v>369</v>
      </c>
      <c r="E31" s="450" t="s">
        <v>407</v>
      </c>
      <c r="F31" s="451">
        <f t="shared" si="2"/>
        <v>112</v>
      </c>
      <c r="G31" s="451">
        <f>'5-Majors by Track'!G31</f>
        <v>80</v>
      </c>
      <c r="H31" s="451">
        <f>'5-Majors by Track'!H31</f>
        <v>32</v>
      </c>
      <c r="I31" s="452">
        <f t="shared" si="0"/>
        <v>3.7812288993923027E-2</v>
      </c>
      <c r="J31" s="452">
        <f t="shared" si="1"/>
        <v>4.196328212813788E-2</v>
      </c>
      <c r="K31" s="451">
        <v>92</v>
      </c>
      <c r="L31" s="451">
        <v>20</v>
      </c>
      <c r="M31" s="451">
        <v>51</v>
      </c>
      <c r="N31" s="451">
        <v>54</v>
      </c>
      <c r="O31" s="451">
        <v>3</v>
      </c>
      <c r="P31" s="451">
        <v>1</v>
      </c>
      <c r="Q31" s="451">
        <v>0</v>
      </c>
      <c r="R31" s="451">
        <v>3</v>
      </c>
      <c r="S31" s="451">
        <v>0</v>
      </c>
      <c r="T31" s="451">
        <v>0</v>
      </c>
      <c r="U31" s="451">
        <v>0</v>
      </c>
    </row>
    <row r="32" spans="1:21" x14ac:dyDescent="0.2">
      <c r="A32" s="218" t="s">
        <v>1435</v>
      </c>
      <c r="B32" s="218" t="s">
        <v>218</v>
      </c>
      <c r="C32" s="449" t="s">
        <v>68</v>
      </c>
      <c r="D32" s="450" t="s">
        <v>370</v>
      </c>
      <c r="E32" s="450" t="s">
        <v>407</v>
      </c>
      <c r="F32" s="451">
        <f t="shared" si="2"/>
        <v>19</v>
      </c>
      <c r="G32" s="451">
        <f>'5-Majors by Track'!G32</f>
        <v>11</v>
      </c>
      <c r="H32" s="451">
        <f>'5-Majors by Track'!H32</f>
        <v>8</v>
      </c>
      <c r="I32" s="452">
        <f t="shared" si="0"/>
        <v>6.4145847400405133E-3</v>
      </c>
      <c r="J32" s="452">
        <f t="shared" si="1"/>
        <v>7.1187710753091047E-3</v>
      </c>
      <c r="K32" s="451">
        <v>14</v>
      </c>
      <c r="L32" s="451">
        <v>5</v>
      </c>
      <c r="M32" s="451">
        <v>7</v>
      </c>
      <c r="N32" s="451">
        <v>9</v>
      </c>
      <c r="O32" s="451">
        <v>0</v>
      </c>
      <c r="P32" s="451">
        <v>0</v>
      </c>
      <c r="Q32" s="451">
        <v>0</v>
      </c>
      <c r="R32" s="451">
        <v>3</v>
      </c>
      <c r="S32" s="451">
        <v>0</v>
      </c>
      <c r="T32" s="451">
        <v>0</v>
      </c>
      <c r="U32" s="451">
        <v>0</v>
      </c>
    </row>
    <row r="33" spans="1:21" hidden="1" x14ac:dyDescent="0.2">
      <c r="A33" s="218"/>
      <c r="B33" s="218"/>
      <c r="C33" s="449"/>
      <c r="D33" s="450"/>
      <c r="E33" s="450"/>
      <c r="F33" s="451"/>
      <c r="G33" s="451"/>
      <c r="H33" s="451"/>
      <c r="I33" s="452"/>
      <c r="J33" s="452"/>
      <c r="K33" s="451"/>
      <c r="L33" s="451"/>
      <c r="M33" s="451"/>
      <c r="N33" s="451"/>
      <c r="O33" s="451"/>
      <c r="P33" s="451"/>
      <c r="Q33" s="451"/>
      <c r="R33" s="451"/>
      <c r="S33" s="451"/>
      <c r="T33" s="451"/>
      <c r="U33" s="451"/>
    </row>
    <row r="34" spans="1:21" hidden="1" x14ac:dyDescent="0.2">
      <c r="A34" s="218"/>
      <c r="B34" s="218"/>
      <c r="C34" s="449"/>
      <c r="D34" s="450"/>
      <c r="E34" s="450"/>
      <c r="F34" s="451"/>
      <c r="G34" s="451"/>
      <c r="H34" s="451"/>
      <c r="I34" s="452"/>
      <c r="J34" s="452"/>
      <c r="K34" s="451"/>
      <c r="L34" s="451"/>
      <c r="M34" s="451"/>
      <c r="N34" s="451"/>
      <c r="O34" s="451"/>
      <c r="P34" s="451"/>
      <c r="Q34" s="451"/>
      <c r="R34" s="451"/>
      <c r="S34" s="451"/>
      <c r="T34" s="451"/>
      <c r="U34" s="451"/>
    </row>
    <row r="35" spans="1:21" x14ac:dyDescent="0.2">
      <c r="A35" s="651" t="s">
        <v>219</v>
      </c>
      <c r="B35" s="652"/>
      <c r="C35" s="652"/>
      <c r="D35" s="652"/>
      <c r="E35" s="477"/>
      <c r="F35" s="478">
        <f t="shared" ref="F35:U35" si="3">SUM(F8:F34)</f>
        <v>351</v>
      </c>
      <c r="G35" s="478">
        <f t="shared" si="3"/>
        <v>216</v>
      </c>
      <c r="H35" s="478">
        <f t="shared" si="3"/>
        <v>135</v>
      </c>
      <c r="I35" s="479">
        <f t="shared" si="3"/>
        <v>0.11850101282916949</v>
      </c>
      <c r="J35" s="479">
        <f t="shared" si="3"/>
        <v>0.13150992881228926</v>
      </c>
      <c r="K35" s="478">
        <f>SUM(K8:K34)</f>
        <v>268</v>
      </c>
      <c r="L35" s="478">
        <f t="shared" si="3"/>
        <v>83</v>
      </c>
      <c r="M35" s="478">
        <f t="shared" si="3"/>
        <v>160</v>
      </c>
      <c r="N35" s="478">
        <f t="shared" si="3"/>
        <v>158</v>
      </c>
      <c r="O35" s="478">
        <f t="shared" si="3"/>
        <v>6</v>
      </c>
      <c r="P35" s="478">
        <f t="shared" si="3"/>
        <v>6</v>
      </c>
      <c r="Q35" s="478">
        <f t="shared" si="3"/>
        <v>2</v>
      </c>
      <c r="R35" s="478">
        <f t="shared" si="3"/>
        <v>16</v>
      </c>
      <c r="S35" s="478">
        <f t="shared" si="3"/>
        <v>0</v>
      </c>
      <c r="T35" s="478">
        <f t="shared" si="3"/>
        <v>3</v>
      </c>
      <c r="U35" s="478">
        <f t="shared" si="3"/>
        <v>0</v>
      </c>
    </row>
    <row r="36" spans="1:21" x14ac:dyDescent="0.2">
      <c r="A36" s="328" t="s">
        <v>1435</v>
      </c>
      <c r="B36" s="328" t="s">
        <v>218</v>
      </c>
      <c r="C36" s="591" t="s">
        <v>67</v>
      </c>
      <c r="D36" s="557" t="s">
        <v>373</v>
      </c>
      <c r="E36" s="557" t="s">
        <v>407</v>
      </c>
      <c r="F36" s="480">
        <f t="shared" ref="F36:F39" si="4">G36+H36</f>
        <v>14</v>
      </c>
      <c r="G36" s="480">
        <v>11</v>
      </c>
      <c r="H36" s="480">
        <v>3</v>
      </c>
      <c r="I36" s="481">
        <f t="shared" ref="I36:I41" si="5">F36/$F$149</f>
        <v>4.7265361242403783E-3</v>
      </c>
      <c r="J36" s="481">
        <f t="shared" ref="J36:J41" si="6">F36/$F$148</f>
        <v>4.778156996587031E-2</v>
      </c>
      <c r="K36" s="480">
        <v>8</v>
      </c>
      <c r="L36" s="480">
        <v>6</v>
      </c>
      <c r="M36" s="480">
        <v>10</v>
      </c>
      <c r="N36" s="480">
        <v>3</v>
      </c>
      <c r="O36" s="480">
        <v>0</v>
      </c>
      <c r="P36" s="480">
        <v>1</v>
      </c>
      <c r="Q36" s="480">
        <v>0</v>
      </c>
      <c r="R36" s="480">
        <v>0</v>
      </c>
      <c r="S36" s="480">
        <v>0</v>
      </c>
      <c r="T36" s="480">
        <v>0</v>
      </c>
      <c r="U36" s="480">
        <v>0</v>
      </c>
    </row>
    <row r="37" spans="1:21" x14ac:dyDescent="0.2">
      <c r="A37" s="218" t="s">
        <v>1435</v>
      </c>
      <c r="B37" s="218" t="s">
        <v>218</v>
      </c>
      <c r="C37" s="449" t="s">
        <v>67</v>
      </c>
      <c r="D37" s="450" t="s">
        <v>371</v>
      </c>
      <c r="E37" s="450" t="s">
        <v>412</v>
      </c>
      <c r="F37" s="451">
        <f t="shared" si="4"/>
        <v>2</v>
      </c>
      <c r="G37" s="451">
        <v>2</v>
      </c>
      <c r="H37" s="451">
        <v>0</v>
      </c>
      <c r="I37" s="452">
        <f t="shared" si="5"/>
        <v>6.7521944632005406E-4</v>
      </c>
      <c r="J37" s="452">
        <f t="shared" si="6"/>
        <v>6.8259385665529011E-3</v>
      </c>
      <c r="K37" s="451">
        <v>0</v>
      </c>
      <c r="L37" s="451">
        <v>2</v>
      </c>
      <c r="M37" s="451">
        <v>0</v>
      </c>
      <c r="N37" s="451">
        <v>2</v>
      </c>
      <c r="O37" s="451">
        <v>0</v>
      </c>
      <c r="P37" s="451">
        <v>0</v>
      </c>
      <c r="Q37" s="451">
        <v>0</v>
      </c>
      <c r="R37" s="451">
        <v>0</v>
      </c>
      <c r="S37" s="451">
        <v>0</v>
      </c>
      <c r="T37" s="451">
        <v>0</v>
      </c>
      <c r="U37" s="451">
        <v>0</v>
      </c>
    </row>
    <row r="38" spans="1:21" x14ac:dyDescent="0.2">
      <c r="A38" s="218" t="s">
        <v>1435</v>
      </c>
      <c r="B38" s="218" t="s">
        <v>218</v>
      </c>
      <c r="C38" s="449" t="s">
        <v>67</v>
      </c>
      <c r="D38" s="450" t="s">
        <v>371</v>
      </c>
      <c r="E38" s="450" t="s">
        <v>413</v>
      </c>
      <c r="F38" s="451">
        <f t="shared" si="4"/>
        <v>9</v>
      </c>
      <c r="G38" s="451">
        <v>5</v>
      </c>
      <c r="H38" s="451">
        <v>4</v>
      </c>
      <c r="I38" s="452">
        <f t="shared" si="5"/>
        <v>3.0384875084402429E-3</v>
      </c>
      <c r="J38" s="452">
        <f t="shared" si="6"/>
        <v>3.0716723549488054E-2</v>
      </c>
      <c r="K38" s="451">
        <v>1</v>
      </c>
      <c r="L38" s="451">
        <v>8</v>
      </c>
      <c r="M38" s="451">
        <v>7</v>
      </c>
      <c r="N38" s="451">
        <v>2</v>
      </c>
      <c r="O38" s="451">
        <v>0</v>
      </c>
      <c r="P38" s="451">
        <v>0</v>
      </c>
      <c r="Q38" s="451">
        <v>0</v>
      </c>
      <c r="R38" s="451">
        <v>0</v>
      </c>
      <c r="S38" s="451">
        <v>0</v>
      </c>
      <c r="T38" s="451">
        <v>0</v>
      </c>
      <c r="U38" s="451">
        <v>0</v>
      </c>
    </row>
    <row r="39" spans="1:21" x14ac:dyDescent="0.2">
      <c r="A39" s="218" t="s">
        <v>1435</v>
      </c>
      <c r="B39" s="218" t="s">
        <v>218</v>
      </c>
      <c r="C39" s="449" t="s">
        <v>67</v>
      </c>
      <c r="D39" s="450" t="s">
        <v>374</v>
      </c>
      <c r="E39" s="450" t="s">
        <v>407</v>
      </c>
      <c r="F39" s="451">
        <f t="shared" si="4"/>
        <v>17</v>
      </c>
      <c r="G39" s="451">
        <v>11</v>
      </c>
      <c r="H39" s="451">
        <v>6</v>
      </c>
      <c r="I39" s="452">
        <f t="shared" si="5"/>
        <v>5.7393652937204592E-3</v>
      </c>
      <c r="J39" s="452">
        <f t="shared" si="6"/>
        <v>5.8020477815699661E-2</v>
      </c>
      <c r="K39" s="451">
        <v>3</v>
      </c>
      <c r="L39" s="451">
        <v>14</v>
      </c>
      <c r="M39" s="451">
        <v>15</v>
      </c>
      <c r="N39" s="451">
        <v>1</v>
      </c>
      <c r="O39" s="451">
        <v>0</v>
      </c>
      <c r="P39" s="451">
        <v>1</v>
      </c>
      <c r="Q39" s="451">
        <v>0</v>
      </c>
      <c r="R39" s="451">
        <v>0</v>
      </c>
      <c r="S39" s="451">
        <v>0</v>
      </c>
      <c r="T39" s="451">
        <v>0</v>
      </c>
      <c r="U39" s="451">
        <v>0</v>
      </c>
    </row>
    <row r="40" spans="1:21" hidden="1" x14ac:dyDescent="0.2">
      <c r="A40" s="218"/>
      <c r="B40" s="218" t="s">
        <v>218</v>
      </c>
      <c r="C40" s="449" t="s">
        <v>67</v>
      </c>
      <c r="D40" s="450"/>
      <c r="E40" s="450"/>
      <c r="F40" s="451"/>
      <c r="G40" s="451"/>
      <c r="H40" s="451"/>
      <c r="I40" s="452">
        <f t="shared" si="5"/>
        <v>0</v>
      </c>
      <c r="J40" s="452">
        <f t="shared" si="6"/>
        <v>0</v>
      </c>
      <c r="K40" s="451"/>
      <c r="L40" s="451"/>
      <c r="M40" s="451"/>
      <c r="N40" s="451"/>
      <c r="O40" s="451"/>
      <c r="P40" s="451"/>
      <c r="Q40" s="451"/>
      <c r="R40" s="451"/>
      <c r="S40" s="451"/>
      <c r="T40" s="451"/>
      <c r="U40" s="451"/>
    </row>
    <row r="41" spans="1:21" hidden="1" x14ac:dyDescent="0.2">
      <c r="A41" s="218"/>
      <c r="B41" s="218" t="s">
        <v>218</v>
      </c>
      <c r="C41" s="449" t="s">
        <v>67</v>
      </c>
      <c r="D41" s="450"/>
      <c r="E41" s="450"/>
      <c r="F41" s="451"/>
      <c r="G41" s="451"/>
      <c r="H41" s="451"/>
      <c r="I41" s="452">
        <f t="shared" si="5"/>
        <v>0</v>
      </c>
      <c r="J41" s="452">
        <f t="shared" si="6"/>
        <v>0</v>
      </c>
      <c r="K41" s="451"/>
      <c r="L41" s="451"/>
      <c r="M41" s="451"/>
      <c r="N41" s="451"/>
      <c r="O41" s="451"/>
      <c r="P41" s="451"/>
      <c r="Q41" s="451"/>
      <c r="R41" s="451"/>
      <c r="S41" s="451"/>
      <c r="T41" s="451"/>
      <c r="U41" s="451"/>
    </row>
    <row r="42" spans="1:21" x14ac:dyDescent="0.2">
      <c r="A42" s="630" t="s">
        <v>220</v>
      </c>
      <c r="B42" s="631"/>
      <c r="C42" s="631"/>
      <c r="D42" s="631"/>
      <c r="E42" s="475"/>
      <c r="F42" s="453">
        <f>SUM(F36:F41)</f>
        <v>42</v>
      </c>
      <c r="G42" s="453">
        <f t="shared" ref="G42:H42" si="7">SUM(G36:G41)</f>
        <v>29</v>
      </c>
      <c r="H42" s="453">
        <f t="shared" si="7"/>
        <v>13</v>
      </c>
      <c r="I42" s="454">
        <f>SUM(I36:I41)</f>
        <v>1.4179608372721135E-2</v>
      </c>
      <c r="J42" s="454">
        <f>SUM(J36:J41)</f>
        <v>0.14334470989761092</v>
      </c>
      <c r="K42" s="453">
        <f>SUM(K36:K41)</f>
        <v>12</v>
      </c>
      <c r="L42" s="453">
        <f t="shared" ref="L42:S42" si="8">SUM(L36:L41)</f>
        <v>30</v>
      </c>
      <c r="M42" s="453">
        <f t="shared" si="8"/>
        <v>32</v>
      </c>
      <c r="N42" s="453">
        <f t="shared" si="8"/>
        <v>8</v>
      </c>
      <c r="O42" s="453">
        <f t="shared" si="8"/>
        <v>0</v>
      </c>
      <c r="P42" s="453">
        <f t="shared" si="8"/>
        <v>2</v>
      </c>
      <c r="Q42" s="453">
        <f t="shared" si="8"/>
        <v>0</v>
      </c>
      <c r="R42" s="453">
        <f t="shared" si="8"/>
        <v>0</v>
      </c>
      <c r="S42" s="453">
        <f t="shared" si="8"/>
        <v>0</v>
      </c>
      <c r="T42" s="453">
        <f>SUM(T36:T41)</f>
        <v>0</v>
      </c>
      <c r="U42" s="453">
        <f>SUM(U36:U41)</f>
        <v>0</v>
      </c>
    </row>
    <row r="43" spans="1:21" x14ac:dyDescent="0.2">
      <c r="A43" s="658" t="s">
        <v>221</v>
      </c>
      <c r="B43" s="659"/>
      <c r="C43" s="659"/>
      <c r="D43" s="659"/>
      <c r="E43" s="586"/>
      <c r="F43" s="587">
        <f>F35+F42</f>
        <v>393</v>
      </c>
      <c r="G43" s="587">
        <f>G35+G42</f>
        <v>245</v>
      </c>
      <c r="H43" s="587">
        <f t="shared" ref="H43:U43" si="9">H35+H42</f>
        <v>148</v>
      </c>
      <c r="I43" s="588">
        <f>I35+I42</f>
        <v>0.13268062120189061</v>
      </c>
      <c r="J43" s="589"/>
      <c r="K43" s="587">
        <f t="shared" si="9"/>
        <v>280</v>
      </c>
      <c r="L43" s="587">
        <f t="shared" si="9"/>
        <v>113</v>
      </c>
      <c r="M43" s="587">
        <f t="shared" si="9"/>
        <v>192</v>
      </c>
      <c r="N43" s="587">
        <f t="shared" si="9"/>
        <v>166</v>
      </c>
      <c r="O43" s="587">
        <f t="shared" si="9"/>
        <v>6</v>
      </c>
      <c r="P43" s="587">
        <f t="shared" si="9"/>
        <v>8</v>
      </c>
      <c r="Q43" s="587">
        <f t="shared" si="9"/>
        <v>2</v>
      </c>
      <c r="R43" s="587">
        <f t="shared" si="9"/>
        <v>16</v>
      </c>
      <c r="S43" s="587">
        <f t="shared" si="9"/>
        <v>0</v>
      </c>
      <c r="T43" s="587">
        <f t="shared" si="9"/>
        <v>3</v>
      </c>
      <c r="U43" s="587">
        <f t="shared" si="9"/>
        <v>0</v>
      </c>
    </row>
    <row r="44" spans="1:21" ht="3" customHeight="1" x14ac:dyDescent="0.25">
      <c r="A44" s="458"/>
      <c r="B44" s="458"/>
      <c r="C44" s="458"/>
      <c r="D44" s="458"/>
      <c r="E44" s="458"/>
      <c r="F44" s="458"/>
      <c r="G44" s="458"/>
      <c r="H44" s="458"/>
      <c r="I44" s="458"/>
      <c r="J44" s="458"/>
      <c r="K44" s="458"/>
      <c r="L44" s="458"/>
      <c r="M44" s="458"/>
      <c r="N44" s="458"/>
      <c r="O44" s="458"/>
      <c r="P44" s="458"/>
      <c r="Q44" s="458"/>
      <c r="R44" s="458"/>
      <c r="S44" s="458"/>
      <c r="T44" s="458"/>
      <c r="U44" s="458"/>
    </row>
    <row r="45" spans="1:21" x14ac:dyDescent="0.2">
      <c r="A45" s="218" t="s">
        <v>1435</v>
      </c>
      <c r="B45" s="459" t="s">
        <v>222</v>
      </c>
      <c r="C45" s="460" t="s">
        <v>68</v>
      </c>
      <c r="D45" s="450" t="s">
        <v>384</v>
      </c>
      <c r="E45" s="450" t="s">
        <v>421</v>
      </c>
      <c r="F45" s="451">
        <f t="shared" ref="F45:F61" si="10">G45+H45</f>
        <v>10</v>
      </c>
      <c r="G45" s="451">
        <v>4</v>
      </c>
      <c r="H45" s="451">
        <v>6</v>
      </c>
      <c r="I45" s="452">
        <f t="shared" ref="I45:I65" si="11">F45/$F$149</f>
        <v>3.37609723160027E-3</v>
      </c>
      <c r="J45" s="452">
        <f t="shared" ref="J45:J65" si="12">F45/$F$147</f>
        <v>3.7467216185837391E-3</v>
      </c>
      <c r="K45" s="451">
        <v>8</v>
      </c>
      <c r="L45" s="451">
        <v>2</v>
      </c>
      <c r="M45" s="451">
        <v>10</v>
      </c>
      <c r="N45" s="451">
        <v>0</v>
      </c>
      <c r="O45" s="451">
        <v>0</v>
      </c>
      <c r="P45" s="451">
        <v>0</v>
      </c>
      <c r="Q45" s="451">
        <v>0</v>
      </c>
      <c r="R45" s="451">
        <v>0</v>
      </c>
      <c r="S45" s="451">
        <v>0</v>
      </c>
      <c r="T45" s="451">
        <v>0</v>
      </c>
      <c r="U45" s="451">
        <v>0</v>
      </c>
    </row>
    <row r="46" spans="1:21" x14ac:dyDescent="0.2">
      <c r="A46" s="218" t="s">
        <v>1435</v>
      </c>
      <c r="B46" s="459" t="s">
        <v>222</v>
      </c>
      <c r="C46" s="460" t="s">
        <v>68</v>
      </c>
      <c r="D46" s="450" t="s">
        <v>384</v>
      </c>
      <c r="E46" s="450" t="s">
        <v>422</v>
      </c>
      <c r="F46" s="451">
        <f t="shared" si="10"/>
        <v>5</v>
      </c>
      <c r="G46" s="451">
        <v>5</v>
      </c>
      <c r="H46" s="451">
        <v>0</v>
      </c>
      <c r="I46" s="452">
        <f t="shared" si="11"/>
        <v>1.688048615800135E-3</v>
      </c>
      <c r="J46" s="452">
        <f t="shared" si="12"/>
        <v>1.8733608092918695E-3</v>
      </c>
      <c r="K46" s="451">
        <v>4</v>
      </c>
      <c r="L46" s="451">
        <v>1</v>
      </c>
      <c r="M46" s="451">
        <v>3</v>
      </c>
      <c r="N46" s="451">
        <v>2</v>
      </c>
      <c r="O46" s="451">
        <v>0</v>
      </c>
      <c r="P46" s="451">
        <v>0</v>
      </c>
      <c r="Q46" s="451">
        <v>0</v>
      </c>
      <c r="R46" s="451">
        <v>0</v>
      </c>
      <c r="S46" s="451">
        <v>0</v>
      </c>
      <c r="T46" s="451">
        <v>0</v>
      </c>
      <c r="U46" s="451">
        <v>0</v>
      </c>
    </row>
    <row r="47" spans="1:21" x14ac:dyDescent="0.2">
      <c r="A47" s="218" t="s">
        <v>1435</v>
      </c>
      <c r="B47" s="459" t="s">
        <v>222</v>
      </c>
      <c r="C47" s="460" t="s">
        <v>68</v>
      </c>
      <c r="D47" s="450" t="s">
        <v>384</v>
      </c>
      <c r="E47" s="450" t="s">
        <v>423</v>
      </c>
      <c r="F47" s="451">
        <f t="shared" si="10"/>
        <v>17</v>
      </c>
      <c r="G47" s="451">
        <v>10</v>
      </c>
      <c r="H47" s="451">
        <v>7</v>
      </c>
      <c r="I47" s="452">
        <f t="shared" si="11"/>
        <v>5.7393652937204592E-3</v>
      </c>
      <c r="J47" s="452">
        <f t="shared" si="12"/>
        <v>6.369426751592357E-3</v>
      </c>
      <c r="K47" s="451">
        <v>11</v>
      </c>
      <c r="L47" s="451">
        <v>6</v>
      </c>
      <c r="M47" s="451">
        <v>5</v>
      </c>
      <c r="N47" s="451">
        <v>11</v>
      </c>
      <c r="O47" s="451">
        <v>0</v>
      </c>
      <c r="P47" s="451">
        <v>0</v>
      </c>
      <c r="Q47" s="451">
        <v>0</v>
      </c>
      <c r="R47" s="451">
        <v>1</v>
      </c>
      <c r="S47" s="451">
        <v>0</v>
      </c>
      <c r="T47" s="451">
        <v>0</v>
      </c>
      <c r="U47" s="451">
        <v>0</v>
      </c>
    </row>
    <row r="48" spans="1:21" x14ac:dyDescent="0.2">
      <c r="A48" s="218" t="s">
        <v>1435</v>
      </c>
      <c r="B48" s="459" t="s">
        <v>222</v>
      </c>
      <c r="C48" s="460" t="s">
        <v>68</v>
      </c>
      <c r="D48" s="450" t="s">
        <v>384</v>
      </c>
      <c r="E48" s="450" t="s">
        <v>424</v>
      </c>
      <c r="F48" s="451">
        <f t="shared" si="10"/>
        <v>19</v>
      </c>
      <c r="G48" s="451">
        <v>6</v>
      </c>
      <c r="H48" s="451">
        <v>13</v>
      </c>
      <c r="I48" s="452">
        <f t="shared" si="11"/>
        <v>6.4145847400405133E-3</v>
      </c>
      <c r="J48" s="452">
        <f t="shared" si="12"/>
        <v>7.1187710753091047E-3</v>
      </c>
      <c r="K48" s="451">
        <v>10</v>
      </c>
      <c r="L48" s="451">
        <v>9</v>
      </c>
      <c r="M48" s="451">
        <v>15</v>
      </c>
      <c r="N48" s="451">
        <v>3</v>
      </c>
      <c r="O48" s="451">
        <v>0</v>
      </c>
      <c r="P48" s="451">
        <v>1</v>
      </c>
      <c r="Q48" s="451">
        <v>0</v>
      </c>
      <c r="R48" s="451">
        <v>0</v>
      </c>
      <c r="S48" s="451">
        <v>0</v>
      </c>
      <c r="T48" s="451">
        <v>0</v>
      </c>
      <c r="U48" s="451">
        <v>0</v>
      </c>
    </row>
    <row r="49" spans="1:21" x14ac:dyDescent="0.2">
      <c r="A49" s="218" t="s">
        <v>1435</v>
      </c>
      <c r="B49" s="459" t="s">
        <v>222</v>
      </c>
      <c r="C49" s="460" t="s">
        <v>68</v>
      </c>
      <c r="D49" s="450" t="s">
        <v>375</v>
      </c>
      <c r="E49" s="450" t="s">
        <v>407</v>
      </c>
      <c r="F49" s="451">
        <f t="shared" si="10"/>
        <v>6</v>
      </c>
      <c r="G49" s="451">
        <v>4</v>
      </c>
      <c r="H49" s="451">
        <v>2</v>
      </c>
      <c r="I49" s="452">
        <f t="shared" si="11"/>
        <v>2.0256583389601621E-3</v>
      </c>
      <c r="J49" s="452">
        <f t="shared" si="12"/>
        <v>2.2480329711502436E-3</v>
      </c>
      <c r="K49" s="451">
        <v>4</v>
      </c>
      <c r="L49" s="451">
        <v>2</v>
      </c>
      <c r="M49" s="451">
        <v>4</v>
      </c>
      <c r="N49" s="451">
        <v>2</v>
      </c>
      <c r="O49" s="451">
        <v>0</v>
      </c>
      <c r="P49" s="451">
        <v>0</v>
      </c>
      <c r="Q49" s="451">
        <v>0</v>
      </c>
      <c r="R49" s="451">
        <v>0</v>
      </c>
      <c r="S49" s="451">
        <v>0</v>
      </c>
      <c r="T49" s="451">
        <v>0</v>
      </c>
      <c r="U49" s="451">
        <v>0</v>
      </c>
    </row>
    <row r="50" spans="1:21" x14ac:dyDescent="0.2">
      <c r="A50" s="218" t="s">
        <v>1435</v>
      </c>
      <c r="B50" s="459" t="s">
        <v>222</v>
      </c>
      <c r="C50" s="460" t="s">
        <v>68</v>
      </c>
      <c r="D50" s="450" t="s">
        <v>375</v>
      </c>
      <c r="E50" s="450" t="s">
        <v>425</v>
      </c>
      <c r="F50" s="451">
        <f t="shared" si="10"/>
        <v>24</v>
      </c>
      <c r="G50" s="451">
        <v>12</v>
      </c>
      <c r="H50" s="451">
        <v>12</v>
      </c>
      <c r="I50" s="452">
        <f t="shared" si="11"/>
        <v>8.1026333558406483E-3</v>
      </c>
      <c r="J50" s="452">
        <f t="shared" si="12"/>
        <v>8.9921318846009745E-3</v>
      </c>
      <c r="K50" s="451">
        <v>17</v>
      </c>
      <c r="L50" s="451">
        <v>7</v>
      </c>
      <c r="M50" s="451">
        <v>9</v>
      </c>
      <c r="N50" s="451">
        <v>14</v>
      </c>
      <c r="O50" s="451">
        <v>0</v>
      </c>
      <c r="P50" s="451">
        <v>0</v>
      </c>
      <c r="Q50" s="451">
        <v>0</v>
      </c>
      <c r="R50" s="451">
        <v>1</v>
      </c>
      <c r="S50" s="451">
        <v>0</v>
      </c>
      <c r="T50" s="451">
        <v>0</v>
      </c>
      <c r="U50" s="451">
        <v>0</v>
      </c>
    </row>
    <row r="51" spans="1:21" x14ac:dyDescent="0.2">
      <c r="A51" s="218" t="s">
        <v>1435</v>
      </c>
      <c r="B51" s="459" t="s">
        <v>222</v>
      </c>
      <c r="C51" s="460" t="s">
        <v>68</v>
      </c>
      <c r="D51" s="450" t="s">
        <v>375</v>
      </c>
      <c r="E51" s="450" t="s">
        <v>426</v>
      </c>
      <c r="F51" s="451">
        <f t="shared" si="10"/>
        <v>134</v>
      </c>
      <c r="G51" s="451">
        <v>100</v>
      </c>
      <c r="H51" s="451">
        <v>34</v>
      </c>
      <c r="I51" s="452">
        <f t="shared" si="11"/>
        <v>4.5239702903443618E-2</v>
      </c>
      <c r="J51" s="452">
        <f t="shared" si="12"/>
        <v>5.0206069689022102E-2</v>
      </c>
      <c r="K51" s="451">
        <v>110</v>
      </c>
      <c r="L51" s="451">
        <v>24</v>
      </c>
      <c r="M51" s="451">
        <v>36</v>
      </c>
      <c r="N51" s="451">
        <v>92</v>
      </c>
      <c r="O51" s="451">
        <v>2</v>
      </c>
      <c r="P51" s="451">
        <v>1</v>
      </c>
      <c r="Q51" s="451">
        <v>1</v>
      </c>
      <c r="R51" s="451">
        <v>2</v>
      </c>
      <c r="S51" s="451">
        <v>0</v>
      </c>
      <c r="T51" s="451">
        <v>0</v>
      </c>
      <c r="U51" s="451">
        <v>0</v>
      </c>
    </row>
    <row r="52" spans="1:21" x14ac:dyDescent="0.2">
      <c r="A52" s="218" t="s">
        <v>1435</v>
      </c>
      <c r="B52" s="459" t="s">
        <v>222</v>
      </c>
      <c r="C52" s="460" t="s">
        <v>68</v>
      </c>
      <c r="D52" s="450" t="s">
        <v>375</v>
      </c>
      <c r="E52" s="450" t="s">
        <v>427</v>
      </c>
      <c r="F52" s="451">
        <f t="shared" si="10"/>
        <v>52</v>
      </c>
      <c r="G52" s="451">
        <v>36</v>
      </c>
      <c r="H52" s="451">
        <v>16</v>
      </c>
      <c r="I52" s="452">
        <f t="shared" si="11"/>
        <v>1.7555705604321403E-2</v>
      </c>
      <c r="J52" s="452">
        <f t="shared" si="12"/>
        <v>1.9482952416635443E-2</v>
      </c>
      <c r="K52" s="451">
        <v>42</v>
      </c>
      <c r="L52" s="451">
        <v>10</v>
      </c>
      <c r="M52" s="451">
        <v>23</v>
      </c>
      <c r="N52" s="451">
        <v>24</v>
      </c>
      <c r="O52" s="451">
        <v>0</v>
      </c>
      <c r="P52" s="451">
        <v>4</v>
      </c>
      <c r="Q52" s="451">
        <v>0</v>
      </c>
      <c r="R52" s="451">
        <v>1</v>
      </c>
      <c r="S52" s="451">
        <v>0</v>
      </c>
      <c r="T52" s="451">
        <v>0</v>
      </c>
      <c r="U52" s="451">
        <v>0</v>
      </c>
    </row>
    <row r="53" spans="1:21" x14ac:dyDescent="0.2">
      <c r="A53" s="218" t="s">
        <v>1435</v>
      </c>
      <c r="B53" s="459" t="s">
        <v>222</v>
      </c>
      <c r="C53" s="460" t="s">
        <v>68</v>
      </c>
      <c r="D53" s="450" t="s">
        <v>376</v>
      </c>
      <c r="E53" s="450" t="s">
        <v>428</v>
      </c>
      <c r="F53" s="451">
        <f t="shared" si="10"/>
        <v>17</v>
      </c>
      <c r="G53" s="451">
        <v>11</v>
      </c>
      <c r="H53" s="451">
        <v>6</v>
      </c>
      <c r="I53" s="452">
        <f t="shared" si="11"/>
        <v>5.7393652937204592E-3</v>
      </c>
      <c r="J53" s="452">
        <f t="shared" si="12"/>
        <v>6.369426751592357E-3</v>
      </c>
      <c r="K53" s="451">
        <v>17</v>
      </c>
      <c r="L53" s="451">
        <v>0</v>
      </c>
      <c r="M53" s="451">
        <v>6</v>
      </c>
      <c r="N53" s="451">
        <v>9</v>
      </c>
      <c r="O53" s="451">
        <v>0</v>
      </c>
      <c r="P53" s="451">
        <v>0</v>
      </c>
      <c r="Q53" s="451">
        <v>0</v>
      </c>
      <c r="R53" s="451">
        <v>1</v>
      </c>
      <c r="S53" s="451">
        <v>0</v>
      </c>
      <c r="T53" s="451">
        <v>0</v>
      </c>
      <c r="U53" s="451">
        <v>1</v>
      </c>
    </row>
    <row r="54" spans="1:21" x14ac:dyDescent="0.2">
      <c r="A54" s="218" t="s">
        <v>1435</v>
      </c>
      <c r="B54" s="459" t="s">
        <v>222</v>
      </c>
      <c r="C54" s="460" t="s">
        <v>68</v>
      </c>
      <c r="D54" s="450" t="s">
        <v>376</v>
      </c>
      <c r="E54" s="450" t="s">
        <v>429</v>
      </c>
      <c r="F54" s="451">
        <f t="shared" si="10"/>
        <v>8</v>
      </c>
      <c r="G54" s="451">
        <v>4</v>
      </c>
      <c r="H54" s="451">
        <v>4</v>
      </c>
      <c r="I54" s="452">
        <f t="shared" si="11"/>
        <v>2.7008777852802163E-3</v>
      </c>
      <c r="J54" s="452">
        <f t="shared" si="12"/>
        <v>2.9973772948669914E-3</v>
      </c>
      <c r="K54" s="451">
        <v>7</v>
      </c>
      <c r="L54" s="451">
        <v>1</v>
      </c>
      <c r="M54" s="451">
        <v>1</v>
      </c>
      <c r="N54" s="451">
        <v>6</v>
      </c>
      <c r="O54" s="451">
        <v>0</v>
      </c>
      <c r="P54" s="451">
        <v>0</v>
      </c>
      <c r="Q54" s="451">
        <v>0</v>
      </c>
      <c r="R54" s="451">
        <v>1</v>
      </c>
      <c r="S54" s="451">
        <v>0</v>
      </c>
      <c r="T54" s="451">
        <v>0</v>
      </c>
      <c r="U54" s="451">
        <v>0</v>
      </c>
    </row>
    <row r="55" spans="1:21" x14ac:dyDescent="0.2">
      <c r="A55" s="218" t="s">
        <v>1435</v>
      </c>
      <c r="B55" s="459" t="s">
        <v>222</v>
      </c>
      <c r="C55" s="460" t="s">
        <v>68</v>
      </c>
      <c r="D55" s="450" t="s">
        <v>376</v>
      </c>
      <c r="E55" s="450" t="s">
        <v>430</v>
      </c>
      <c r="F55" s="451">
        <f t="shared" si="10"/>
        <v>17</v>
      </c>
      <c r="G55" s="451">
        <v>10</v>
      </c>
      <c r="H55" s="451">
        <v>7</v>
      </c>
      <c r="I55" s="452">
        <f t="shared" si="11"/>
        <v>5.7393652937204592E-3</v>
      </c>
      <c r="J55" s="452">
        <f t="shared" si="12"/>
        <v>6.369426751592357E-3</v>
      </c>
      <c r="K55" s="451">
        <v>15</v>
      </c>
      <c r="L55" s="451">
        <v>2</v>
      </c>
      <c r="M55" s="451">
        <v>2</v>
      </c>
      <c r="N55" s="451">
        <v>13</v>
      </c>
      <c r="O55" s="451">
        <v>0</v>
      </c>
      <c r="P55" s="451">
        <v>2</v>
      </c>
      <c r="Q55" s="451">
        <v>0</v>
      </c>
      <c r="R55" s="451">
        <v>0</v>
      </c>
      <c r="S55" s="451">
        <v>0</v>
      </c>
      <c r="T55" s="451">
        <v>0</v>
      </c>
      <c r="U55" s="451">
        <v>0</v>
      </c>
    </row>
    <row r="56" spans="1:21" x14ac:dyDescent="0.2">
      <c r="A56" s="218" t="s">
        <v>1435</v>
      </c>
      <c r="B56" s="459" t="s">
        <v>222</v>
      </c>
      <c r="C56" s="460" t="s">
        <v>68</v>
      </c>
      <c r="D56" s="450" t="s">
        <v>385</v>
      </c>
      <c r="E56" s="450" t="s">
        <v>407</v>
      </c>
      <c r="F56" s="451">
        <f t="shared" si="10"/>
        <v>4</v>
      </c>
      <c r="G56" s="451">
        <v>1</v>
      </c>
      <c r="H56" s="451">
        <v>3</v>
      </c>
      <c r="I56" s="452">
        <f t="shared" si="11"/>
        <v>1.3504388926401081E-3</v>
      </c>
      <c r="J56" s="452">
        <f t="shared" si="12"/>
        <v>1.4986886474334957E-3</v>
      </c>
      <c r="K56" s="451">
        <v>3</v>
      </c>
      <c r="L56" s="451">
        <v>1</v>
      </c>
      <c r="M56" s="451">
        <v>3</v>
      </c>
      <c r="N56" s="451">
        <v>1</v>
      </c>
      <c r="O56" s="451">
        <v>0</v>
      </c>
      <c r="P56" s="451">
        <v>0</v>
      </c>
      <c r="Q56" s="451">
        <v>0</v>
      </c>
      <c r="R56" s="451">
        <v>0</v>
      </c>
      <c r="S56" s="451">
        <v>0</v>
      </c>
      <c r="T56" s="451">
        <v>0</v>
      </c>
      <c r="U56" s="451">
        <v>0</v>
      </c>
    </row>
    <row r="57" spans="1:21" x14ac:dyDescent="0.2">
      <c r="A57" s="218" t="s">
        <v>1435</v>
      </c>
      <c r="B57" s="459" t="s">
        <v>222</v>
      </c>
      <c r="C57" s="460" t="s">
        <v>68</v>
      </c>
      <c r="D57" s="450" t="s">
        <v>377</v>
      </c>
      <c r="E57" s="450" t="s">
        <v>407</v>
      </c>
      <c r="F57" s="451">
        <f t="shared" si="10"/>
        <v>15</v>
      </c>
      <c r="G57" s="451">
        <v>1</v>
      </c>
      <c r="H57" s="451">
        <v>14</v>
      </c>
      <c r="I57" s="452">
        <f t="shared" si="11"/>
        <v>5.064145847400405E-3</v>
      </c>
      <c r="J57" s="452">
        <f t="shared" si="12"/>
        <v>5.6200824278756084E-3</v>
      </c>
      <c r="K57" s="451">
        <v>6</v>
      </c>
      <c r="L57" s="451">
        <v>9</v>
      </c>
      <c r="M57" s="451">
        <v>4</v>
      </c>
      <c r="N57" s="451">
        <v>9</v>
      </c>
      <c r="O57" s="451">
        <v>0</v>
      </c>
      <c r="P57" s="451">
        <v>0</v>
      </c>
      <c r="Q57" s="451">
        <v>0</v>
      </c>
      <c r="R57" s="451">
        <v>2</v>
      </c>
      <c r="S57" s="451">
        <v>0</v>
      </c>
      <c r="T57" s="451">
        <v>0</v>
      </c>
      <c r="U57" s="451">
        <v>0</v>
      </c>
    </row>
    <row r="58" spans="1:21" x14ac:dyDescent="0.2">
      <c r="A58" s="218" t="s">
        <v>1435</v>
      </c>
      <c r="B58" s="459" t="s">
        <v>222</v>
      </c>
      <c r="C58" s="460" t="s">
        <v>68</v>
      </c>
      <c r="D58" s="450" t="s">
        <v>378</v>
      </c>
      <c r="E58" s="450" t="s">
        <v>407</v>
      </c>
      <c r="F58" s="451">
        <f t="shared" si="10"/>
        <v>21</v>
      </c>
      <c r="G58" s="451">
        <v>7</v>
      </c>
      <c r="H58" s="451">
        <v>14</v>
      </c>
      <c r="I58" s="452">
        <f t="shared" si="11"/>
        <v>7.0898041863605675E-3</v>
      </c>
      <c r="J58" s="452">
        <f t="shared" si="12"/>
        <v>7.8681153990258525E-3</v>
      </c>
      <c r="K58" s="451">
        <v>15</v>
      </c>
      <c r="L58" s="451">
        <v>6</v>
      </c>
      <c r="M58" s="451">
        <v>7</v>
      </c>
      <c r="N58" s="451">
        <v>11</v>
      </c>
      <c r="O58" s="451">
        <v>0</v>
      </c>
      <c r="P58" s="451">
        <v>2</v>
      </c>
      <c r="Q58" s="451">
        <v>0</v>
      </c>
      <c r="R58" s="451">
        <v>1</v>
      </c>
      <c r="S58" s="451">
        <v>0</v>
      </c>
      <c r="T58" s="451">
        <v>0</v>
      </c>
      <c r="U58" s="451">
        <v>0</v>
      </c>
    </row>
    <row r="59" spans="1:21" x14ac:dyDescent="0.2">
      <c r="A59" s="218" t="s">
        <v>1435</v>
      </c>
      <c r="B59" s="459" t="s">
        <v>222</v>
      </c>
      <c r="C59" s="460" t="s">
        <v>68</v>
      </c>
      <c r="D59" s="450" t="s">
        <v>380</v>
      </c>
      <c r="E59" s="450" t="s">
        <v>407</v>
      </c>
      <c r="F59" s="451">
        <f t="shared" si="10"/>
        <v>11</v>
      </c>
      <c r="G59" s="451">
        <v>7</v>
      </c>
      <c r="H59" s="451">
        <v>4</v>
      </c>
      <c r="I59" s="452">
        <f t="shared" si="11"/>
        <v>3.7137069547602971E-3</v>
      </c>
      <c r="J59" s="452">
        <f t="shared" si="12"/>
        <v>4.121393780442113E-3</v>
      </c>
      <c r="K59" s="451">
        <v>10</v>
      </c>
      <c r="L59" s="451">
        <v>1</v>
      </c>
      <c r="M59" s="451">
        <v>6</v>
      </c>
      <c r="N59" s="451">
        <v>4</v>
      </c>
      <c r="O59" s="451">
        <v>0</v>
      </c>
      <c r="P59" s="451">
        <v>1</v>
      </c>
      <c r="Q59" s="451">
        <v>0</v>
      </c>
      <c r="R59" s="451">
        <v>0</v>
      </c>
      <c r="S59" s="451">
        <v>0</v>
      </c>
      <c r="T59" s="451">
        <v>0</v>
      </c>
      <c r="U59" s="451">
        <v>0</v>
      </c>
    </row>
    <row r="60" spans="1:21" x14ac:dyDescent="0.2">
      <c r="A60" s="218" t="s">
        <v>1435</v>
      </c>
      <c r="B60" s="459" t="s">
        <v>222</v>
      </c>
      <c r="C60" s="460" t="s">
        <v>68</v>
      </c>
      <c r="D60" s="450" t="s">
        <v>381</v>
      </c>
      <c r="E60" s="450" t="s">
        <v>407</v>
      </c>
      <c r="F60" s="451">
        <f t="shared" si="10"/>
        <v>6</v>
      </c>
      <c r="G60" s="451">
        <v>3</v>
      </c>
      <c r="H60" s="451">
        <v>3</v>
      </c>
      <c r="I60" s="452">
        <f t="shared" si="11"/>
        <v>2.0256583389601621E-3</v>
      </c>
      <c r="J60" s="452">
        <f t="shared" si="12"/>
        <v>2.2480329711502436E-3</v>
      </c>
      <c r="K60" s="451">
        <v>5</v>
      </c>
      <c r="L60" s="451">
        <v>1</v>
      </c>
      <c r="M60" s="451">
        <v>1</v>
      </c>
      <c r="N60" s="451">
        <v>4</v>
      </c>
      <c r="O60" s="451">
        <v>0</v>
      </c>
      <c r="P60" s="451">
        <v>0</v>
      </c>
      <c r="Q60" s="451">
        <v>0</v>
      </c>
      <c r="R60" s="451">
        <v>0</v>
      </c>
      <c r="S60" s="451">
        <v>0</v>
      </c>
      <c r="T60" s="451">
        <v>1</v>
      </c>
      <c r="U60" s="451">
        <v>0</v>
      </c>
    </row>
    <row r="61" spans="1:21" x14ac:dyDescent="0.2">
      <c r="A61" s="218" t="s">
        <v>1435</v>
      </c>
      <c r="B61" s="459" t="s">
        <v>222</v>
      </c>
      <c r="C61" s="460" t="s">
        <v>68</v>
      </c>
      <c r="D61" s="450" t="s">
        <v>383</v>
      </c>
      <c r="E61" s="450" t="s">
        <v>407</v>
      </c>
      <c r="F61" s="451">
        <f t="shared" si="10"/>
        <v>5</v>
      </c>
      <c r="G61" s="451">
        <v>4</v>
      </c>
      <c r="H61" s="451">
        <v>1</v>
      </c>
      <c r="I61" s="452">
        <f t="shared" si="11"/>
        <v>1.688048615800135E-3</v>
      </c>
      <c r="J61" s="452">
        <f t="shared" si="12"/>
        <v>1.8733608092918695E-3</v>
      </c>
      <c r="K61" s="451">
        <v>5</v>
      </c>
      <c r="L61" s="451">
        <v>0</v>
      </c>
      <c r="M61" s="451">
        <v>3</v>
      </c>
      <c r="N61" s="451">
        <v>2</v>
      </c>
      <c r="O61" s="451">
        <v>0</v>
      </c>
      <c r="P61" s="451">
        <v>0</v>
      </c>
      <c r="Q61" s="451">
        <v>0</v>
      </c>
      <c r="R61" s="451">
        <v>0</v>
      </c>
      <c r="S61" s="451">
        <v>0</v>
      </c>
      <c r="T61" s="451">
        <v>0</v>
      </c>
      <c r="U61" s="451">
        <v>0</v>
      </c>
    </row>
    <row r="62" spans="1:21" hidden="1" x14ac:dyDescent="0.2">
      <c r="A62" s="218"/>
      <c r="B62" s="459"/>
      <c r="C62" s="460"/>
      <c r="D62" s="450"/>
      <c r="E62" s="450"/>
      <c r="F62" s="451"/>
      <c r="G62" s="451"/>
      <c r="H62" s="451"/>
      <c r="I62" s="452"/>
      <c r="J62" s="452"/>
      <c r="K62" s="451"/>
      <c r="L62" s="451"/>
      <c r="M62" s="451"/>
      <c r="N62" s="451"/>
      <c r="O62" s="451"/>
      <c r="P62" s="451"/>
      <c r="Q62" s="451"/>
      <c r="R62" s="451"/>
      <c r="S62" s="451"/>
      <c r="T62" s="451"/>
      <c r="U62" s="451"/>
    </row>
    <row r="63" spans="1:21" hidden="1" x14ac:dyDescent="0.2">
      <c r="A63" s="218"/>
      <c r="B63" s="459" t="s">
        <v>222</v>
      </c>
      <c r="C63" s="460" t="s">
        <v>68</v>
      </c>
      <c r="D63" s="450"/>
      <c r="E63" s="450"/>
      <c r="F63" s="451"/>
      <c r="G63" s="451"/>
      <c r="H63" s="451"/>
      <c r="I63" s="452">
        <f t="shared" si="11"/>
        <v>0</v>
      </c>
      <c r="J63" s="452">
        <f t="shared" si="12"/>
        <v>0</v>
      </c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451"/>
    </row>
    <row r="64" spans="1:21" hidden="1" x14ac:dyDescent="0.2">
      <c r="A64" s="218"/>
      <c r="B64" s="459" t="s">
        <v>222</v>
      </c>
      <c r="C64" s="460" t="s">
        <v>68</v>
      </c>
      <c r="D64" s="450"/>
      <c r="E64" s="450"/>
      <c r="F64" s="451"/>
      <c r="G64" s="451"/>
      <c r="H64" s="451"/>
      <c r="I64" s="452">
        <f t="shared" si="11"/>
        <v>0</v>
      </c>
      <c r="J64" s="452">
        <f t="shared" si="12"/>
        <v>0</v>
      </c>
      <c r="K64" s="451"/>
      <c r="L64" s="451"/>
      <c r="M64" s="451"/>
      <c r="N64" s="451"/>
      <c r="O64" s="451"/>
      <c r="P64" s="451"/>
      <c r="Q64" s="451"/>
      <c r="R64" s="451"/>
      <c r="S64" s="451"/>
      <c r="T64" s="451"/>
      <c r="U64" s="451"/>
    </row>
    <row r="65" spans="1:21" hidden="1" x14ac:dyDescent="0.2">
      <c r="A65" s="218"/>
      <c r="B65" s="459" t="s">
        <v>222</v>
      </c>
      <c r="C65" s="460" t="s">
        <v>68</v>
      </c>
      <c r="D65" s="450"/>
      <c r="E65" s="450"/>
      <c r="F65" s="451"/>
      <c r="G65" s="451"/>
      <c r="H65" s="451"/>
      <c r="I65" s="452">
        <f t="shared" si="11"/>
        <v>0</v>
      </c>
      <c r="J65" s="452">
        <f t="shared" si="12"/>
        <v>0</v>
      </c>
      <c r="K65" s="451"/>
      <c r="L65" s="451"/>
      <c r="M65" s="451"/>
      <c r="N65" s="451"/>
      <c r="O65" s="451"/>
      <c r="P65" s="451"/>
      <c r="Q65" s="451"/>
      <c r="R65" s="451"/>
      <c r="S65" s="451"/>
      <c r="T65" s="451"/>
      <c r="U65" s="451"/>
    </row>
    <row r="66" spans="1:21" x14ac:dyDescent="0.2">
      <c r="A66" s="651" t="s">
        <v>223</v>
      </c>
      <c r="B66" s="652"/>
      <c r="C66" s="652"/>
      <c r="D66" s="652"/>
      <c r="E66" s="477"/>
      <c r="F66" s="478">
        <f t="shared" ref="F66:U66" si="13">SUM(F45:F65)</f>
        <v>371</v>
      </c>
      <c r="G66" s="478">
        <f t="shared" si="13"/>
        <v>225</v>
      </c>
      <c r="H66" s="478">
        <f t="shared" si="13"/>
        <v>146</v>
      </c>
      <c r="I66" s="479">
        <f t="shared" si="13"/>
        <v>0.12525320729237005</v>
      </c>
      <c r="J66" s="479">
        <f t="shared" si="13"/>
        <v>0.13900337204945673</v>
      </c>
      <c r="K66" s="478">
        <f t="shared" si="13"/>
        <v>289</v>
      </c>
      <c r="L66" s="478">
        <f t="shared" si="13"/>
        <v>82</v>
      </c>
      <c r="M66" s="478">
        <f t="shared" si="13"/>
        <v>138</v>
      </c>
      <c r="N66" s="478">
        <f t="shared" si="13"/>
        <v>207</v>
      </c>
      <c r="O66" s="478">
        <f t="shared" si="13"/>
        <v>2</v>
      </c>
      <c r="P66" s="478">
        <f t="shared" si="13"/>
        <v>11</v>
      </c>
      <c r="Q66" s="478">
        <f t="shared" si="13"/>
        <v>1</v>
      </c>
      <c r="R66" s="478">
        <f t="shared" si="13"/>
        <v>10</v>
      </c>
      <c r="S66" s="478">
        <f t="shared" si="13"/>
        <v>0</v>
      </c>
      <c r="T66" s="478">
        <f t="shared" si="13"/>
        <v>1</v>
      </c>
      <c r="U66" s="478">
        <f t="shared" si="13"/>
        <v>1</v>
      </c>
    </row>
    <row r="67" spans="1:21" ht="3.6" customHeight="1" x14ac:dyDescent="0.25">
      <c r="A67" s="458"/>
      <c r="B67" s="458"/>
      <c r="C67" s="458"/>
      <c r="D67" s="458"/>
      <c r="E67" s="458"/>
      <c r="F67" s="458"/>
      <c r="G67" s="458"/>
      <c r="H67" s="458"/>
      <c r="I67" s="458"/>
      <c r="J67" s="458"/>
      <c r="K67" s="458"/>
      <c r="L67" s="458"/>
      <c r="M67" s="458"/>
      <c r="N67" s="458"/>
      <c r="O67" s="458"/>
      <c r="P67" s="458"/>
      <c r="Q67" s="458"/>
      <c r="R67" s="458"/>
      <c r="S67" s="458"/>
      <c r="T67" s="458"/>
      <c r="U67" s="458"/>
    </row>
    <row r="68" spans="1:21" ht="15" customHeight="1" x14ac:dyDescent="0.2">
      <c r="A68" s="218" t="s">
        <v>1435</v>
      </c>
      <c r="B68" s="459" t="s">
        <v>222</v>
      </c>
      <c r="C68" s="460" t="s">
        <v>67</v>
      </c>
      <c r="D68" s="450" t="s">
        <v>375</v>
      </c>
      <c r="E68" s="450" t="s">
        <v>407</v>
      </c>
      <c r="F68" s="451">
        <f t="shared" ref="F68:F70" si="14">G68+H68</f>
        <v>37</v>
      </c>
      <c r="G68" s="451">
        <v>27</v>
      </c>
      <c r="H68" s="451">
        <v>10</v>
      </c>
      <c r="I68" s="452">
        <f>F68/$F$149</f>
        <v>1.2491559756920999E-2</v>
      </c>
      <c r="J68" s="452">
        <f>F68/$F$148</f>
        <v>0.12627986348122866</v>
      </c>
      <c r="K68" s="451">
        <v>10</v>
      </c>
      <c r="L68" s="451">
        <v>27</v>
      </c>
      <c r="M68" s="451">
        <v>12</v>
      </c>
      <c r="N68" s="451">
        <v>4</v>
      </c>
      <c r="O68" s="451">
        <v>3</v>
      </c>
      <c r="P68" s="451">
        <v>18</v>
      </c>
      <c r="Q68" s="451">
        <v>0</v>
      </c>
      <c r="R68" s="451">
        <v>0</v>
      </c>
      <c r="S68" s="451">
        <v>0</v>
      </c>
      <c r="T68" s="451">
        <v>0</v>
      </c>
      <c r="U68" s="451">
        <v>0</v>
      </c>
    </row>
    <row r="69" spans="1:21" ht="15" customHeight="1" x14ac:dyDescent="0.2">
      <c r="A69" s="218" t="s">
        <v>1435</v>
      </c>
      <c r="B69" s="459" t="s">
        <v>222</v>
      </c>
      <c r="C69" s="460" t="s">
        <v>67</v>
      </c>
      <c r="D69" s="450" t="s">
        <v>406</v>
      </c>
      <c r="E69" s="450" t="s">
        <v>407</v>
      </c>
      <c r="F69" s="451">
        <f t="shared" si="14"/>
        <v>15</v>
      </c>
      <c r="G69" s="451">
        <v>9</v>
      </c>
      <c r="H69" s="451">
        <v>6</v>
      </c>
      <c r="I69" s="452">
        <f>F69/$F$149</f>
        <v>5.064145847400405E-3</v>
      </c>
      <c r="J69" s="452">
        <f>F69/$F$148</f>
        <v>5.1194539249146756E-2</v>
      </c>
      <c r="K69" s="451">
        <v>3</v>
      </c>
      <c r="L69" s="451">
        <v>12</v>
      </c>
      <c r="M69" s="451">
        <v>7</v>
      </c>
      <c r="N69" s="451">
        <v>4</v>
      </c>
      <c r="O69" s="451">
        <v>1</v>
      </c>
      <c r="P69" s="451">
        <v>1</v>
      </c>
      <c r="Q69" s="451">
        <v>0</v>
      </c>
      <c r="R69" s="451">
        <v>1</v>
      </c>
      <c r="S69" s="451">
        <v>0</v>
      </c>
      <c r="T69" s="451">
        <v>1</v>
      </c>
      <c r="U69" s="451">
        <v>0</v>
      </c>
    </row>
    <row r="70" spans="1:21" ht="21.6" customHeight="1" x14ac:dyDescent="0.2">
      <c r="A70" s="218" t="s">
        <v>1435</v>
      </c>
      <c r="B70" s="459" t="s">
        <v>222</v>
      </c>
      <c r="C70" s="460" t="s">
        <v>67</v>
      </c>
      <c r="D70" s="218" t="s">
        <v>386</v>
      </c>
      <c r="E70" s="450" t="s">
        <v>407</v>
      </c>
      <c r="F70" s="451">
        <f t="shared" si="14"/>
        <v>11</v>
      </c>
      <c r="G70" s="451">
        <v>2</v>
      </c>
      <c r="H70" s="451">
        <v>9</v>
      </c>
      <c r="I70" s="452">
        <f>F70/$F$149</f>
        <v>3.7137069547602971E-3</v>
      </c>
      <c r="J70" s="452">
        <f>F70/$F$148</f>
        <v>3.7542662116040959E-2</v>
      </c>
      <c r="K70" s="451">
        <v>2</v>
      </c>
      <c r="L70" s="451">
        <v>9</v>
      </c>
      <c r="M70" s="451">
        <v>7</v>
      </c>
      <c r="N70" s="451">
        <v>3</v>
      </c>
      <c r="O70" s="451">
        <v>0</v>
      </c>
      <c r="P70" s="451">
        <v>1</v>
      </c>
      <c r="Q70" s="451">
        <v>0</v>
      </c>
      <c r="R70" s="451">
        <v>0</v>
      </c>
      <c r="S70" s="451">
        <v>0</v>
      </c>
      <c r="T70" s="451">
        <v>0</v>
      </c>
      <c r="U70" s="451">
        <v>0</v>
      </c>
    </row>
    <row r="71" spans="1:21" x14ac:dyDescent="0.2">
      <c r="A71" s="630" t="s">
        <v>224</v>
      </c>
      <c r="B71" s="631"/>
      <c r="C71" s="631"/>
      <c r="D71" s="631"/>
      <c r="E71" s="475"/>
      <c r="F71" s="453">
        <f t="shared" ref="F71:U71" si="15">SUM(F68:F70)</f>
        <v>63</v>
      </c>
      <c r="G71" s="453">
        <f t="shared" si="15"/>
        <v>38</v>
      </c>
      <c r="H71" s="453">
        <f t="shared" si="15"/>
        <v>25</v>
      </c>
      <c r="I71" s="454">
        <f>SUM(I68:I70)</f>
        <v>2.1269412559081699E-2</v>
      </c>
      <c r="J71" s="454">
        <f>SUM(J68:J70)</f>
        <v>0.21501706484641636</v>
      </c>
      <c r="K71" s="453">
        <f t="shared" si="15"/>
        <v>15</v>
      </c>
      <c r="L71" s="453">
        <f t="shared" si="15"/>
        <v>48</v>
      </c>
      <c r="M71" s="453">
        <f t="shared" si="15"/>
        <v>26</v>
      </c>
      <c r="N71" s="453">
        <f t="shared" si="15"/>
        <v>11</v>
      </c>
      <c r="O71" s="453">
        <f t="shared" si="15"/>
        <v>4</v>
      </c>
      <c r="P71" s="453">
        <f t="shared" si="15"/>
        <v>20</v>
      </c>
      <c r="Q71" s="453">
        <f t="shared" si="15"/>
        <v>0</v>
      </c>
      <c r="R71" s="453">
        <f t="shared" si="15"/>
        <v>1</v>
      </c>
      <c r="S71" s="453">
        <f t="shared" si="15"/>
        <v>0</v>
      </c>
      <c r="T71" s="453">
        <f t="shared" si="15"/>
        <v>1</v>
      </c>
      <c r="U71" s="453">
        <f t="shared" si="15"/>
        <v>0</v>
      </c>
    </row>
    <row r="72" spans="1:21" x14ac:dyDescent="0.2">
      <c r="A72" s="628" t="s">
        <v>225</v>
      </c>
      <c r="B72" s="629"/>
      <c r="C72" s="629"/>
      <c r="D72" s="629"/>
      <c r="E72" s="476"/>
      <c r="F72" s="455">
        <f>F66+F71</f>
        <v>434</v>
      </c>
      <c r="G72" s="455">
        <f>G66+G71</f>
        <v>263</v>
      </c>
      <c r="H72" s="455">
        <f>H66+H71</f>
        <v>171</v>
      </c>
      <c r="I72" s="456">
        <f>I66+I71</f>
        <v>0.14652261985145176</v>
      </c>
      <c r="J72" s="457"/>
      <c r="K72" s="455">
        <f t="shared" ref="K72:U72" si="16">K66+K71</f>
        <v>304</v>
      </c>
      <c r="L72" s="455">
        <f t="shared" si="16"/>
        <v>130</v>
      </c>
      <c r="M72" s="455">
        <f t="shared" si="16"/>
        <v>164</v>
      </c>
      <c r="N72" s="455">
        <f t="shared" si="16"/>
        <v>218</v>
      </c>
      <c r="O72" s="455">
        <f t="shared" si="16"/>
        <v>6</v>
      </c>
      <c r="P72" s="455">
        <f t="shared" si="16"/>
        <v>31</v>
      </c>
      <c r="Q72" s="455">
        <f t="shared" si="16"/>
        <v>1</v>
      </c>
      <c r="R72" s="455">
        <f t="shared" si="16"/>
        <v>11</v>
      </c>
      <c r="S72" s="455">
        <f t="shared" si="16"/>
        <v>0</v>
      </c>
      <c r="T72" s="455">
        <f t="shared" si="16"/>
        <v>2</v>
      </c>
      <c r="U72" s="455">
        <f t="shared" si="16"/>
        <v>1</v>
      </c>
    </row>
    <row r="73" spans="1:21" ht="3" customHeight="1" x14ac:dyDescent="0.25">
      <c r="A73" s="458"/>
      <c r="B73" s="458"/>
      <c r="C73" s="458"/>
      <c r="D73" s="458"/>
      <c r="E73" s="458"/>
      <c r="F73" s="458"/>
      <c r="G73" s="458"/>
      <c r="H73" s="458"/>
      <c r="I73" s="458"/>
      <c r="J73" s="458"/>
      <c r="K73" s="458"/>
      <c r="L73" s="458"/>
      <c r="M73" s="458"/>
      <c r="N73" s="458"/>
      <c r="O73" s="458"/>
      <c r="P73" s="458"/>
      <c r="Q73" s="458"/>
      <c r="R73" s="458"/>
      <c r="S73" s="458"/>
      <c r="T73" s="458"/>
      <c r="U73" s="458"/>
    </row>
    <row r="74" spans="1:21" x14ac:dyDescent="0.2">
      <c r="A74" s="218" t="s">
        <v>1435</v>
      </c>
      <c r="B74" s="459" t="s">
        <v>226</v>
      </c>
      <c r="C74" s="460" t="s">
        <v>68</v>
      </c>
      <c r="D74" s="450" t="s">
        <v>1436</v>
      </c>
      <c r="E74" s="451" t="s">
        <v>407</v>
      </c>
      <c r="F74" s="451">
        <f t="shared" ref="F74:F76" si="17">G74+H74</f>
        <v>5</v>
      </c>
      <c r="G74" s="451">
        <v>3</v>
      </c>
      <c r="H74" s="451">
        <v>2</v>
      </c>
      <c r="I74" s="452">
        <f>F74/$F$149</f>
        <v>1.688048615800135E-3</v>
      </c>
      <c r="J74" s="452">
        <f>F74/$F$147</f>
        <v>1.8733608092918695E-3</v>
      </c>
      <c r="K74" s="451">
        <v>5</v>
      </c>
      <c r="L74" s="451">
        <v>0</v>
      </c>
      <c r="M74" s="451">
        <v>0</v>
      </c>
      <c r="N74" s="451">
        <v>2</v>
      </c>
      <c r="O74" s="451">
        <v>1</v>
      </c>
      <c r="P74" s="451">
        <v>2</v>
      </c>
      <c r="Q74" s="451">
        <v>0</v>
      </c>
      <c r="R74" s="451">
        <v>0</v>
      </c>
      <c r="S74" s="451">
        <v>0</v>
      </c>
      <c r="T74" s="451">
        <v>0</v>
      </c>
      <c r="U74" s="451">
        <v>0</v>
      </c>
    </row>
    <row r="75" spans="1:21" x14ac:dyDescent="0.2">
      <c r="A75" s="218" t="s">
        <v>1435</v>
      </c>
      <c r="B75" s="459" t="s">
        <v>226</v>
      </c>
      <c r="C75" s="460" t="s">
        <v>68</v>
      </c>
      <c r="D75" s="450" t="s">
        <v>194</v>
      </c>
      <c r="E75" s="451" t="s">
        <v>407</v>
      </c>
      <c r="F75" s="451">
        <f t="shared" si="17"/>
        <v>34</v>
      </c>
      <c r="G75" s="451">
        <v>16</v>
      </c>
      <c r="H75" s="451">
        <v>18</v>
      </c>
      <c r="I75" s="452">
        <f>F75/$F$149</f>
        <v>1.1478730587440918E-2</v>
      </c>
      <c r="J75" s="452">
        <f>F75/$F$147</f>
        <v>1.2738853503184714E-2</v>
      </c>
      <c r="K75" s="451">
        <v>8</v>
      </c>
      <c r="L75" s="451">
        <v>26</v>
      </c>
      <c r="M75" s="451">
        <v>11</v>
      </c>
      <c r="N75" s="451">
        <v>18</v>
      </c>
      <c r="O75" s="451">
        <v>1</v>
      </c>
      <c r="P75" s="451">
        <v>4</v>
      </c>
      <c r="Q75" s="451">
        <v>0</v>
      </c>
      <c r="R75" s="451">
        <v>0</v>
      </c>
      <c r="S75" s="451">
        <v>0</v>
      </c>
      <c r="T75" s="451">
        <v>0</v>
      </c>
      <c r="U75" s="451">
        <v>0</v>
      </c>
    </row>
    <row r="76" spans="1:21" x14ac:dyDescent="0.2">
      <c r="A76" s="218"/>
      <c r="B76" s="459" t="s">
        <v>226</v>
      </c>
      <c r="C76" s="460" t="s">
        <v>68</v>
      </c>
      <c r="D76" s="450" t="s">
        <v>388</v>
      </c>
      <c r="E76" s="451"/>
      <c r="F76" s="451">
        <f t="shared" si="17"/>
        <v>301</v>
      </c>
      <c r="G76" s="451">
        <v>130</v>
      </c>
      <c r="H76" s="451">
        <v>171</v>
      </c>
      <c r="I76" s="452">
        <f>F76/$F$149</f>
        <v>0.10162052667116812</v>
      </c>
      <c r="J76" s="452">
        <f>F76/$F$147</f>
        <v>0.11277632071937055</v>
      </c>
      <c r="K76" s="451">
        <v>242</v>
      </c>
      <c r="L76" s="451">
        <v>59</v>
      </c>
      <c r="M76" s="451">
        <v>171</v>
      </c>
      <c r="N76" s="451">
        <v>114</v>
      </c>
      <c r="O76" s="451">
        <v>1</v>
      </c>
      <c r="P76" s="451">
        <v>6</v>
      </c>
      <c r="Q76" s="451">
        <v>0</v>
      </c>
      <c r="R76" s="451">
        <v>6</v>
      </c>
      <c r="S76" s="451">
        <v>1</v>
      </c>
      <c r="T76" s="451">
        <v>0</v>
      </c>
      <c r="U76" s="451">
        <v>2</v>
      </c>
    </row>
    <row r="77" spans="1:21" hidden="1" x14ac:dyDescent="0.2">
      <c r="A77" s="218"/>
      <c r="B77" s="459"/>
      <c r="C77" s="460"/>
      <c r="D77" s="450"/>
      <c r="E77" s="450"/>
      <c r="F77" s="451"/>
      <c r="G77" s="451"/>
      <c r="H77" s="451"/>
      <c r="I77" s="452"/>
      <c r="J77" s="452"/>
      <c r="K77" s="451"/>
      <c r="L77" s="451"/>
      <c r="M77" s="451"/>
      <c r="N77" s="451"/>
      <c r="O77" s="451"/>
      <c r="P77" s="451"/>
      <c r="Q77" s="451"/>
      <c r="R77" s="451"/>
      <c r="S77" s="451"/>
      <c r="T77" s="451"/>
      <c r="U77" s="451"/>
    </row>
    <row r="78" spans="1:21" x14ac:dyDescent="0.2">
      <c r="A78" s="630" t="s">
        <v>227</v>
      </c>
      <c r="B78" s="631"/>
      <c r="C78" s="631"/>
      <c r="D78" s="631"/>
      <c r="E78" s="475"/>
      <c r="F78" s="453">
        <f>SUM(F74:F77)</f>
        <v>340</v>
      </c>
      <c r="G78" s="453">
        <f t="shared" ref="G78:H78" si="18">SUM(G74:G77)</f>
        <v>149</v>
      </c>
      <c r="H78" s="453">
        <f t="shared" si="18"/>
        <v>191</v>
      </c>
      <c r="I78" s="454">
        <f>SUM(I74:I77)</f>
        <v>0.11478730587440918</v>
      </c>
      <c r="J78" s="454">
        <f>SUM(J74:J77)</f>
        <v>0.12738853503184713</v>
      </c>
      <c r="K78" s="453">
        <f>SUM(K74:K77)</f>
        <v>255</v>
      </c>
      <c r="L78" s="453">
        <f t="shared" ref="L78:U78" si="19">SUM(L74:L77)</f>
        <v>85</v>
      </c>
      <c r="M78" s="453">
        <f t="shared" si="19"/>
        <v>182</v>
      </c>
      <c r="N78" s="453">
        <f t="shared" si="19"/>
        <v>134</v>
      </c>
      <c r="O78" s="453">
        <f t="shared" si="19"/>
        <v>3</v>
      </c>
      <c r="P78" s="453">
        <f t="shared" si="19"/>
        <v>12</v>
      </c>
      <c r="Q78" s="453">
        <f t="shared" si="19"/>
        <v>0</v>
      </c>
      <c r="R78" s="453">
        <f t="shared" si="19"/>
        <v>6</v>
      </c>
      <c r="S78" s="453">
        <f t="shared" si="19"/>
        <v>1</v>
      </c>
      <c r="T78" s="453">
        <f t="shared" si="19"/>
        <v>0</v>
      </c>
      <c r="U78" s="453">
        <f t="shared" si="19"/>
        <v>2</v>
      </c>
    </row>
    <row r="79" spans="1:21" x14ac:dyDescent="0.2">
      <c r="A79" s="628" t="s">
        <v>228</v>
      </c>
      <c r="B79" s="629"/>
      <c r="C79" s="629"/>
      <c r="D79" s="629"/>
      <c r="E79" s="476"/>
      <c r="F79" s="455">
        <f>F78</f>
        <v>340</v>
      </c>
      <c r="G79" s="455">
        <f>G78</f>
        <v>149</v>
      </c>
      <c r="H79" s="455">
        <f>H78</f>
        <v>191</v>
      </c>
      <c r="I79" s="456">
        <f>I78</f>
        <v>0.11478730587440918</v>
      </c>
      <c r="J79" s="457"/>
      <c r="K79" s="455">
        <f>K78</f>
        <v>255</v>
      </c>
      <c r="L79" s="455">
        <f t="shared" ref="L79:U79" si="20">L78</f>
        <v>85</v>
      </c>
      <c r="M79" s="455">
        <f t="shared" si="20"/>
        <v>182</v>
      </c>
      <c r="N79" s="455">
        <f t="shared" si="20"/>
        <v>134</v>
      </c>
      <c r="O79" s="455">
        <f t="shared" si="20"/>
        <v>3</v>
      </c>
      <c r="P79" s="455">
        <f t="shared" si="20"/>
        <v>12</v>
      </c>
      <c r="Q79" s="455">
        <f t="shared" si="20"/>
        <v>0</v>
      </c>
      <c r="R79" s="455">
        <f t="shared" si="20"/>
        <v>6</v>
      </c>
      <c r="S79" s="455">
        <f t="shared" si="20"/>
        <v>1</v>
      </c>
      <c r="T79" s="455">
        <f t="shared" si="20"/>
        <v>0</v>
      </c>
      <c r="U79" s="455">
        <f t="shared" si="20"/>
        <v>2</v>
      </c>
    </row>
    <row r="80" spans="1:21" ht="3" customHeight="1" x14ac:dyDescent="0.25">
      <c r="A80" s="458"/>
      <c r="B80" s="458"/>
      <c r="C80" s="458"/>
      <c r="D80" s="458"/>
      <c r="E80" s="458"/>
      <c r="F80" s="458"/>
      <c r="G80" s="458"/>
      <c r="H80" s="458"/>
      <c r="I80" s="458"/>
      <c r="J80" s="458"/>
      <c r="K80" s="458"/>
      <c r="L80" s="458"/>
      <c r="M80" s="458"/>
      <c r="N80" s="458"/>
      <c r="O80" s="458"/>
      <c r="P80" s="458"/>
      <c r="Q80" s="458"/>
      <c r="R80" s="458"/>
      <c r="S80" s="458"/>
      <c r="T80" s="458"/>
      <c r="U80" s="458"/>
    </row>
    <row r="81" spans="1:21" ht="12.6" customHeight="1" x14ac:dyDescent="0.2">
      <c r="A81" s="218" t="s">
        <v>1435</v>
      </c>
      <c r="B81" s="218" t="s">
        <v>229</v>
      </c>
      <c r="C81" s="449" t="s">
        <v>68</v>
      </c>
      <c r="D81" s="450" t="s">
        <v>389</v>
      </c>
      <c r="E81" s="450" t="s">
        <v>407</v>
      </c>
      <c r="F81" s="451">
        <f t="shared" ref="F81:F93" si="21">G81+H81</f>
        <v>161</v>
      </c>
      <c r="G81" s="451">
        <v>99</v>
      </c>
      <c r="H81" s="451">
        <v>62</v>
      </c>
      <c r="I81" s="452">
        <f t="shared" ref="I81:I93" si="22">F81/$F$149</f>
        <v>5.4355165428764347E-2</v>
      </c>
      <c r="J81" s="452">
        <f t="shared" ref="J81:J93" si="23">F81/$F$147</f>
        <v>6.0322218059198199E-2</v>
      </c>
      <c r="K81" s="451">
        <v>126</v>
      </c>
      <c r="L81" s="451">
        <v>35</v>
      </c>
      <c r="M81" s="451">
        <v>36</v>
      </c>
      <c r="N81" s="451">
        <v>116</v>
      </c>
      <c r="O81" s="451">
        <v>0</v>
      </c>
      <c r="P81" s="451">
        <v>3</v>
      </c>
      <c r="Q81" s="451">
        <v>1</v>
      </c>
      <c r="R81" s="451">
        <v>3</v>
      </c>
      <c r="S81" s="451">
        <v>0</v>
      </c>
      <c r="T81" s="451">
        <v>2</v>
      </c>
      <c r="U81" s="480">
        <v>0</v>
      </c>
    </row>
    <row r="82" spans="1:21" ht="12.6" customHeight="1" x14ac:dyDescent="0.2">
      <c r="A82" s="218" t="s">
        <v>1435</v>
      </c>
      <c r="B82" s="218" t="s">
        <v>229</v>
      </c>
      <c r="C82" s="449" t="s">
        <v>68</v>
      </c>
      <c r="D82" s="450" t="s">
        <v>393</v>
      </c>
      <c r="E82" s="450" t="s">
        <v>407</v>
      </c>
      <c r="F82" s="451">
        <f t="shared" si="21"/>
        <v>315</v>
      </c>
      <c r="G82" s="451">
        <v>187</v>
      </c>
      <c r="H82" s="451">
        <v>128</v>
      </c>
      <c r="I82" s="452">
        <f t="shared" si="22"/>
        <v>0.10634706279540851</v>
      </c>
      <c r="J82" s="452">
        <f t="shared" si="23"/>
        <v>0.11802173098538779</v>
      </c>
      <c r="K82" s="451">
        <v>0</v>
      </c>
      <c r="L82" s="451">
        <v>4</v>
      </c>
      <c r="M82" s="451">
        <v>3</v>
      </c>
      <c r="N82" s="451">
        <v>1</v>
      </c>
      <c r="O82" s="480">
        <v>0</v>
      </c>
      <c r="P82" s="480">
        <v>0</v>
      </c>
      <c r="Q82" s="480">
        <v>0</v>
      </c>
      <c r="R82" s="480">
        <v>0</v>
      </c>
      <c r="S82" s="480">
        <v>0</v>
      </c>
      <c r="T82" s="480">
        <v>0</v>
      </c>
      <c r="U82" s="480">
        <v>0</v>
      </c>
    </row>
    <row r="83" spans="1:21" ht="12.6" customHeight="1" x14ac:dyDescent="0.2">
      <c r="A83" s="218" t="s">
        <v>1435</v>
      </c>
      <c r="B83" s="218" t="s">
        <v>229</v>
      </c>
      <c r="C83" s="449" t="s">
        <v>68</v>
      </c>
      <c r="D83" s="450" t="s">
        <v>393</v>
      </c>
      <c r="E83" s="450" t="s">
        <v>432</v>
      </c>
      <c r="F83" s="451">
        <f t="shared" si="21"/>
        <v>4</v>
      </c>
      <c r="G83" s="451">
        <v>1</v>
      </c>
      <c r="H83" s="451">
        <v>3</v>
      </c>
      <c r="I83" s="452">
        <f t="shared" si="22"/>
        <v>1.3504388926401081E-3</v>
      </c>
      <c r="J83" s="452">
        <f t="shared" si="23"/>
        <v>1.4986886474334957E-3</v>
      </c>
      <c r="K83" s="451">
        <v>8</v>
      </c>
      <c r="L83" s="451">
        <v>5</v>
      </c>
      <c r="M83" s="451">
        <v>8</v>
      </c>
      <c r="N83" s="451">
        <v>4</v>
      </c>
      <c r="O83" s="480">
        <v>0</v>
      </c>
      <c r="P83" s="480">
        <v>1</v>
      </c>
      <c r="Q83" s="480">
        <v>0</v>
      </c>
      <c r="R83" s="480">
        <v>0</v>
      </c>
      <c r="S83" s="480">
        <v>0</v>
      </c>
      <c r="T83" s="480">
        <v>0</v>
      </c>
      <c r="U83" s="480">
        <v>0</v>
      </c>
    </row>
    <row r="84" spans="1:21" ht="12.6" customHeight="1" x14ac:dyDescent="0.2">
      <c r="A84" s="218" t="s">
        <v>1435</v>
      </c>
      <c r="B84" s="218" t="s">
        <v>229</v>
      </c>
      <c r="C84" s="449" t="s">
        <v>68</v>
      </c>
      <c r="D84" s="450" t="s">
        <v>393</v>
      </c>
      <c r="E84" s="450" t="s">
        <v>431</v>
      </c>
      <c r="F84" s="451">
        <f t="shared" si="21"/>
        <v>13</v>
      </c>
      <c r="G84" s="451">
        <v>5</v>
      </c>
      <c r="H84" s="451">
        <v>8</v>
      </c>
      <c r="I84" s="452">
        <f t="shared" si="22"/>
        <v>4.3889264010803508E-3</v>
      </c>
      <c r="J84" s="452">
        <f t="shared" si="23"/>
        <v>4.8707381041588607E-3</v>
      </c>
      <c r="K84" s="451">
        <v>0</v>
      </c>
      <c r="L84" s="451">
        <v>1</v>
      </c>
      <c r="M84" s="451">
        <v>0</v>
      </c>
      <c r="N84" s="451">
        <v>1</v>
      </c>
      <c r="O84" s="480">
        <v>0</v>
      </c>
      <c r="P84" s="480">
        <v>0</v>
      </c>
      <c r="Q84" s="480">
        <v>0</v>
      </c>
      <c r="R84" s="480">
        <v>0</v>
      </c>
      <c r="S84" s="480">
        <v>0</v>
      </c>
      <c r="T84" s="480">
        <v>0</v>
      </c>
      <c r="U84" s="480">
        <v>0</v>
      </c>
    </row>
    <row r="85" spans="1:21" ht="12.6" customHeight="1" x14ac:dyDescent="0.2">
      <c r="A85" s="218" t="s">
        <v>1435</v>
      </c>
      <c r="B85" s="218" t="s">
        <v>229</v>
      </c>
      <c r="C85" s="449" t="s">
        <v>68</v>
      </c>
      <c r="D85" s="450" t="s">
        <v>393</v>
      </c>
      <c r="E85" s="450" t="s">
        <v>659</v>
      </c>
      <c r="F85" s="451">
        <f t="shared" si="21"/>
        <v>1</v>
      </c>
      <c r="G85" s="451">
        <v>1</v>
      </c>
      <c r="H85" s="451">
        <v>0</v>
      </c>
      <c r="I85" s="452">
        <f t="shared" si="22"/>
        <v>3.3760972316002703E-4</v>
      </c>
      <c r="J85" s="452">
        <f t="shared" si="23"/>
        <v>3.7467216185837392E-4</v>
      </c>
      <c r="K85" s="451">
        <v>2</v>
      </c>
      <c r="L85" s="451">
        <v>2</v>
      </c>
      <c r="M85" s="451">
        <v>2</v>
      </c>
      <c r="N85" s="451">
        <v>2</v>
      </c>
      <c r="O85" s="480">
        <v>0</v>
      </c>
      <c r="P85" s="480">
        <v>0</v>
      </c>
      <c r="Q85" s="480">
        <v>0</v>
      </c>
      <c r="R85" s="480">
        <v>0</v>
      </c>
      <c r="S85" s="480">
        <v>0</v>
      </c>
      <c r="T85" s="480">
        <v>0</v>
      </c>
      <c r="U85" s="480">
        <v>0</v>
      </c>
    </row>
    <row r="86" spans="1:21" ht="12.6" customHeight="1" x14ac:dyDescent="0.2">
      <c r="A86" s="218" t="s">
        <v>1435</v>
      </c>
      <c r="B86" s="218" t="s">
        <v>229</v>
      </c>
      <c r="C86" s="449" t="s">
        <v>68</v>
      </c>
      <c r="D86" s="450" t="s">
        <v>393</v>
      </c>
      <c r="E86" s="450" t="s">
        <v>660</v>
      </c>
      <c r="F86" s="451">
        <f t="shared" si="21"/>
        <v>4</v>
      </c>
      <c r="G86" s="451">
        <v>3</v>
      </c>
      <c r="H86" s="451">
        <v>1</v>
      </c>
      <c r="I86" s="452">
        <f t="shared" si="22"/>
        <v>1.3504388926401081E-3</v>
      </c>
      <c r="J86" s="452">
        <f t="shared" si="23"/>
        <v>1.4986886474334957E-3</v>
      </c>
      <c r="K86" s="451">
        <v>2</v>
      </c>
      <c r="L86" s="451">
        <v>2</v>
      </c>
      <c r="M86" s="451">
        <v>0</v>
      </c>
      <c r="N86" s="451">
        <v>2</v>
      </c>
      <c r="O86" s="480">
        <v>0</v>
      </c>
      <c r="P86" s="451">
        <v>0</v>
      </c>
      <c r="Q86" s="480">
        <v>0</v>
      </c>
      <c r="R86" s="480">
        <v>1</v>
      </c>
      <c r="S86" s="480">
        <v>0</v>
      </c>
      <c r="T86" s="480">
        <v>1</v>
      </c>
      <c r="U86" s="480">
        <v>0</v>
      </c>
    </row>
    <row r="87" spans="1:21" ht="12.6" customHeight="1" x14ac:dyDescent="0.2">
      <c r="A87" s="218" t="s">
        <v>1435</v>
      </c>
      <c r="B87" s="218" t="s">
        <v>229</v>
      </c>
      <c r="C87" s="449" t="s">
        <v>68</v>
      </c>
      <c r="D87" s="450" t="s">
        <v>393</v>
      </c>
      <c r="E87" s="450" t="s">
        <v>433</v>
      </c>
      <c r="F87" s="451">
        <f t="shared" si="21"/>
        <v>4</v>
      </c>
      <c r="G87" s="451">
        <v>1</v>
      </c>
      <c r="H87" s="451">
        <v>3</v>
      </c>
      <c r="I87" s="452">
        <f t="shared" si="22"/>
        <v>1.3504388926401081E-3</v>
      </c>
      <c r="J87" s="452">
        <f t="shared" si="23"/>
        <v>1.4986886474334957E-3</v>
      </c>
      <c r="K87" s="451">
        <v>2</v>
      </c>
      <c r="L87" s="451">
        <v>2</v>
      </c>
      <c r="M87" s="451">
        <v>0</v>
      </c>
      <c r="N87" s="451">
        <v>3</v>
      </c>
      <c r="O87" s="480">
        <v>0</v>
      </c>
      <c r="P87" s="480">
        <v>1</v>
      </c>
      <c r="Q87" s="480">
        <v>0</v>
      </c>
      <c r="R87" s="480">
        <v>0</v>
      </c>
      <c r="S87" s="480">
        <v>0</v>
      </c>
      <c r="T87" s="480">
        <v>0</v>
      </c>
      <c r="U87" s="480">
        <v>0</v>
      </c>
    </row>
    <row r="88" spans="1:21" ht="12.6" customHeight="1" x14ac:dyDescent="0.2">
      <c r="A88" s="218" t="s">
        <v>1435</v>
      </c>
      <c r="B88" s="218" t="s">
        <v>229</v>
      </c>
      <c r="C88" s="449" t="s">
        <v>68</v>
      </c>
      <c r="D88" s="450" t="s">
        <v>393</v>
      </c>
      <c r="E88" s="450" t="s">
        <v>434</v>
      </c>
      <c r="F88" s="451">
        <f t="shared" si="21"/>
        <v>4</v>
      </c>
      <c r="G88" s="451">
        <v>2</v>
      </c>
      <c r="H88" s="451">
        <v>2</v>
      </c>
      <c r="I88" s="452">
        <f t="shared" si="22"/>
        <v>1.3504388926401081E-3</v>
      </c>
      <c r="J88" s="452">
        <f t="shared" si="23"/>
        <v>1.4986886474334957E-3</v>
      </c>
      <c r="K88" s="451">
        <v>258</v>
      </c>
      <c r="L88" s="451">
        <v>57</v>
      </c>
      <c r="M88" s="451">
        <v>163</v>
      </c>
      <c r="N88" s="451">
        <v>130</v>
      </c>
      <c r="O88" s="480">
        <v>0</v>
      </c>
      <c r="P88" s="480">
        <v>7</v>
      </c>
      <c r="Q88" s="480">
        <v>2</v>
      </c>
      <c r="R88" s="480">
        <v>11</v>
      </c>
      <c r="S88" s="480">
        <v>0</v>
      </c>
      <c r="T88" s="480">
        <v>2</v>
      </c>
      <c r="U88" s="480">
        <v>0</v>
      </c>
    </row>
    <row r="89" spans="1:21" ht="12.6" customHeight="1" x14ac:dyDescent="0.2">
      <c r="A89" s="218" t="s">
        <v>1435</v>
      </c>
      <c r="B89" s="218" t="s">
        <v>229</v>
      </c>
      <c r="C89" s="449" t="s">
        <v>68</v>
      </c>
      <c r="D89" s="450" t="s">
        <v>393</v>
      </c>
      <c r="E89" s="450" t="s">
        <v>661</v>
      </c>
      <c r="F89" s="451">
        <f t="shared" si="21"/>
        <v>3</v>
      </c>
      <c r="G89" s="451">
        <v>3</v>
      </c>
      <c r="H89" s="451">
        <v>0</v>
      </c>
      <c r="I89" s="452">
        <f t="shared" si="22"/>
        <v>1.012829169480081E-3</v>
      </c>
      <c r="J89" s="452">
        <f t="shared" si="23"/>
        <v>1.1240164855751218E-3</v>
      </c>
      <c r="K89" s="451">
        <v>3</v>
      </c>
      <c r="L89" s="451">
        <v>0</v>
      </c>
      <c r="M89" s="451">
        <v>3</v>
      </c>
      <c r="N89" s="451">
        <v>0</v>
      </c>
      <c r="O89" s="480">
        <v>0</v>
      </c>
      <c r="P89" s="480">
        <v>0</v>
      </c>
      <c r="Q89" s="480">
        <v>0</v>
      </c>
      <c r="R89" s="451">
        <v>0</v>
      </c>
      <c r="S89" s="480">
        <v>0</v>
      </c>
      <c r="T89" s="451">
        <v>0</v>
      </c>
      <c r="U89" s="451">
        <v>0</v>
      </c>
    </row>
    <row r="90" spans="1:21" ht="12.6" customHeight="1" x14ac:dyDescent="0.2">
      <c r="A90" s="218" t="s">
        <v>1435</v>
      </c>
      <c r="B90" s="218" t="s">
        <v>229</v>
      </c>
      <c r="C90" s="449" t="s">
        <v>68</v>
      </c>
      <c r="D90" s="450" t="s">
        <v>390</v>
      </c>
      <c r="E90" s="450" t="s">
        <v>407</v>
      </c>
      <c r="F90" s="451">
        <f t="shared" si="21"/>
        <v>145</v>
      </c>
      <c r="G90" s="451">
        <v>65</v>
      </c>
      <c r="H90" s="451">
        <v>80</v>
      </c>
      <c r="I90" s="452">
        <f t="shared" si="22"/>
        <v>4.8953409858203914E-2</v>
      </c>
      <c r="J90" s="452">
        <f t="shared" si="23"/>
        <v>5.4327463469464217E-2</v>
      </c>
      <c r="K90" s="451">
        <v>114</v>
      </c>
      <c r="L90" s="451">
        <v>31</v>
      </c>
      <c r="M90" s="451">
        <v>95</v>
      </c>
      <c r="N90" s="451">
        <v>44</v>
      </c>
      <c r="O90" s="480">
        <v>0</v>
      </c>
      <c r="P90" s="451">
        <v>1</v>
      </c>
      <c r="Q90" s="451">
        <v>1</v>
      </c>
      <c r="R90" s="451">
        <v>3</v>
      </c>
      <c r="S90" s="480">
        <v>0</v>
      </c>
      <c r="T90" s="480">
        <v>0</v>
      </c>
      <c r="U90" s="480">
        <v>1</v>
      </c>
    </row>
    <row r="91" spans="1:21" ht="12.6" customHeight="1" x14ac:dyDescent="0.2">
      <c r="A91" s="218" t="s">
        <v>1435</v>
      </c>
      <c r="B91" s="218" t="s">
        <v>229</v>
      </c>
      <c r="C91" s="449" t="s">
        <v>68</v>
      </c>
      <c r="D91" s="450" t="s">
        <v>391</v>
      </c>
      <c r="E91" s="450" t="s">
        <v>407</v>
      </c>
      <c r="F91" s="451">
        <f t="shared" si="21"/>
        <v>4</v>
      </c>
      <c r="G91" s="451">
        <v>3</v>
      </c>
      <c r="H91" s="451">
        <v>1</v>
      </c>
      <c r="I91" s="452">
        <f t="shared" si="22"/>
        <v>1.3504388926401081E-3</v>
      </c>
      <c r="J91" s="452">
        <f t="shared" si="23"/>
        <v>1.4986886474334957E-3</v>
      </c>
      <c r="K91" s="451">
        <v>4</v>
      </c>
      <c r="L91" s="451">
        <v>0</v>
      </c>
      <c r="M91" s="451">
        <v>2</v>
      </c>
      <c r="N91" s="451">
        <v>0</v>
      </c>
      <c r="O91" s="480">
        <v>0</v>
      </c>
      <c r="P91" s="451">
        <v>0</v>
      </c>
      <c r="Q91" s="451">
        <v>0</v>
      </c>
      <c r="R91" s="451">
        <v>0</v>
      </c>
      <c r="S91" s="451">
        <v>0</v>
      </c>
      <c r="T91" s="451">
        <v>2</v>
      </c>
      <c r="U91" s="451">
        <v>0</v>
      </c>
    </row>
    <row r="92" spans="1:21" ht="12.6" customHeight="1" x14ac:dyDescent="0.2">
      <c r="A92" s="218" t="s">
        <v>1435</v>
      </c>
      <c r="B92" s="218" t="s">
        <v>229</v>
      </c>
      <c r="C92" s="449" t="s">
        <v>68</v>
      </c>
      <c r="D92" s="450" t="s">
        <v>1437</v>
      </c>
      <c r="E92" s="450" t="s">
        <v>407</v>
      </c>
      <c r="F92" s="451">
        <f t="shared" si="21"/>
        <v>6</v>
      </c>
      <c r="G92" s="451">
        <v>3</v>
      </c>
      <c r="H92" s="451">
        <v>3</v>
      </c>
      <c r="I92" s="452">
        <f t="shared" si="22"/>
        <v>2.0256583389601621E-3</v>
      </c>
      <c r="J92" s="452">
        <f t="shared" si="23"/>
        <v>2.2480329711502436E-3</v>
      </c>
      <c r="K92" s="451">
        <v>2</v>
      </c>
      <c r="L92" s="451">
        <v>4</v>
      </c>
      <c r="M92" s="451">
        <v>0</v>
      </c>
      <c r="N92" s="451">
        <v>0</v>
      </c>
      <c r="O92" s="451">
        <v>0</v>
      </c>
      <c r="P92" s="480">
        <v>0</v>
      </c>
      <c r="Q92" s="480">
        <v>0</v>
      </c>
      <c r="R92" s="451">
        <v>0</v>
      </c>
      <c r="S92" s="480">
        <v>0</v>
      </c>
      <c r="T92" s="480">
        <v>6</v>
      </c>
      <c r="U92" s="480">
        <v>0</v>
      </c>
    </row>
    <row r="93" spans="1:21" ht="12.6" customHeight="1" x14ac:dyDescent="0.2">
      <c r="A93" s="218" t="s">
        <v>1435</v>
      </c>
      <c r="B93" s="218" t="s">
        <v>229</v>
      </c>
      <c r="C93" s="449" t="s">
        <v>68</v>
      </c>
      <c r="D93" s="450" t="s">
        <v>394</v>
      </c>
      <c r="E93" s="450" t="s">
        <v>407</v>
      </c>
      <c r="F93" s="451">
        <f t="shared" si="21"/>
        <v>58</v>
      </c>
      <c r="G93" s="451">
        <v>35</v>
      </c>
      <c r="H93" s="451">
        <v>23</v>
      </c>
      <c r="I93" s="452">
        <f t="shared" si="22"/>
        <v>1.9581363943281565E-2</v>
      </c>
      <c r="J93" s="452">
        <f t="shared" si="23"/>
        <v>2.1730985387785687E-2</v>
      </c>
      <c r="K93" s="451">
        <v>41</v>
      </c>
      <c r="L93" s="451">
        <v>17</v>
      </c>
      <c r="M93" s="451">
        <v>50</v>
      </c>
      <c r="N93" s="480">
        <v>8</v>
      </c>
      <c r="O93" s="480">
        <v>0</v>
      </c>
      <c r="P93" s="480">
        <v>0</v>
      </c>
      <c r="Q93" s="480">
        <v>0</v>
      </c>
      <c r="R93" s="480">
        <v>0</v>
      </c>
      <c r="S93" s="480">
        <v>0</v>
      </c>
      <c r="T93" s="451">
        <v>0</v>
      </c>
      <c r="U93" s="480">
        <v>0</v>
      </c>
    </row>
    <row r="94" spans="1:21" ht="12.6" hidden="1" customHeight="1" x14ac:dyDescent="0.2">
      <c r="A94" s="218"/>
      <c r="B94" s="218"/>
      <c r="C94" s="449"/>
      <c r="D94" s="450"/>
      <c r="E94" s="450"/>
      <c r="F94" s="451"/>
      <c r="G94" s="451"/>
      <c r="H94" s="451"/>
      <c r="I94" s="452"/>
      <c r="J94" s="452"/>
      <c r="K94" s="451"/>
      <c r="L94" s="451"/>
      <c r="M94" s="451"/>
      <c r="N94" s="451"/>
      <c r="O94" s="480"/>
      <c r="P94" s="480"/>
      <c r="Q94" s="480"/>
      <c r="R94" s="480"/>
      <c r="S94" s="480"/>
      <c r="T94" s="480"/>
      <c r="U94" s="480"/>
    </row>
    <row r="95" spans="1:21" x14ac:dyDescent="0.2">
      <c r="A95" s="617" t="s">
        <v>230</v>
      </c>
      <c r="B95" s="618"/>
      <c r="C95" s="618"/>
      <c r="D95" s="618"/>
      <c r="E95" s="477"/>
      <c r="F95" s="478">
        <f t="shared" ref="F95:U95" si="24">SUM(F81:F94)</f>
        <v>722</v>
      </c>
      <c r="G95" s="478">
        <f t="shared" si="24"/>
        <v>408</v>
      </c>
      <c r="H95" s="478">
        <f t="shared" si="24"/>
        <v>314</v>
      </c>
      <c r="I95" s="479">
        <f t="shared" si="24"/>
        <v>0.24375422012153949</v>
      </c>
      <c r="J95" s="479">
        <f t="shared" si="24"/>
        <v>0.27051330086174596</v>
      </c>
      <c r="K95" s="478">
        <f t="shared" si="24"/>
        <v>562</v>
      </c>
      <c r="L95" s="478">
        <f t="shared" si="24"/>
        <v>160</v>
      </c>
      <c r="M95" s="478">
        <f t="shared" si="24"/>
        <v>362</v>
      </c>
      <c r="N95" s="478">
        <f t="shared" si="24"/>
        <v>311</v>
      </c>
      <c r="O95" s="478">
        <f t="shared" si="24"/>
        <v>0</v>
      </c>
      <c r="P95" s="478">
        <f t="shared" si="24"/>
        <v>13</v>
      </c>
      <c r="Q95" s="478">
        <f t="shared" si="24"/>
        <v>4</v>
      </c>
      <c r="R95" s="478">
        <f t="shared" si="24"/>
        <v>18</v>
      </c>
      <c r="S95" s="478">
        <f t="shared" si="24"/>
        <v>0</v>
      </c>
      <c r="T95" s="478">
        <f t="shared" si="24"/>
        <v>13</v>
      </c>
      <c r="U95" s="478">
        <f t="shared" si="24"/>
        <v>1</v>
      </c>
    </row>
    <row r="96" spans="1:21" ht="2.85" customHeight="1" x14ac:dyDescent="0.2">
      <c r="A96" s="514"/>
      <c r="B96" s="515"/>
      <c r="C96" s="515"/>
      <c r="D96" s="515"/>
      <c r="E96" s="516"/>
      <c r="F96" s="517"/>
      <c r="G96" s="518"/>
      <c r="H96" s="518"/>
      <c r="I96" s="519"/>
      <c r="J96" s="519"/>
      <c r="K96" s="518"/>
      <c r="L96" s="518"/>
      <c r="M96" s="518"/>
      <c r="N96" s="518"/>
      <c r="O96" s="518"/>
      <c r="P96" s="518"/>
      <c r="Q96" s="518"/>
      <c r="R96" s="518"/>
      <c r="S96" s="518"/>
      <c r="T96" s="518"/>
      <c r="U96" s="518"/>
    </row>
    <row r="97" spans="1:21" x14ac:dyDescent="0.2">
      <c r="A97" s="218" t="s">
        <v>1435</v>
      </c>
      <c r="B97" s="459" t="s">
        <v>229</v>
      </c>
      <c r="C97" s="460" t="s">
        <v>67</v>
      </c>
      <c r="D97" s="522" t="s">
        <v>662</v>
      </c>
      <c r="E97" s="520" t="s">
        <v>407</v>
      </c>
      <c r="F97" s="520">
        <f t="shared" ref="F97:F98" si="25">G97+H97</f>
        <v>9</v>
      </c>
      <c r="G97" s="520">
        <v>6</v>
      </c>
      <c r="H97" s="520">
        <v>3</v>
      </c>
      <c r="I97" s="521">
        <f>F97/$F$149</f>
        <v>3.0384875084402429E-3</v>
      </c>
      <c r="J97" s="521">
        <f>F97/$F$148</f>
        <v>3.0716723549488054E-2</v>
      </c>
      <c r="K97" s="520">
        <v>9</v>
      </c>
      <c r="L97" s="520">
        <v>0</v>
      </c>
      <c r="M97" s="520">
        <v>4</v>
      </c>
      <c r="N97" s="520">
        <v>5</v>
      </c>
      <c r="O97" s="520">
        <v>0</v>
      </c>
      <c r="P97" s="520">
        <v>0</v>
      </c>
      <c r="Q97" s="520">
        <v>0</v>
      </c>
      <c r="R97" s="520">
        <v>0</v>
      </c>
      <c r="S97" s="520">
        <v>0</v>
      </c>
      <c r="T97" s="520">
        <v>0</v>
      </c>
      <c r="U97" s="520">
        <v>0</v>
      </c>
    </row>
    <row r="98" spans="1:21" x14ac:dyDescent="0.2">
      <c r="A98" s="323" t="s">
        <v>1435</v>
      </c>
      <c r="B98" s="581" t="s">
        <v>229</v>
      </c>
      <c r="C98" s="582" t="s">
        <v>67</v>
      </c>
      <c r="D98" s="553" t="s">
        <v>394</v>
      </c>
      <c r="E98" s="480"/>
      <c r="F98" s="480">
        <f t="shared" si="25"/>
        <v>44</v>
      </c>
      <c r="G98" s="480">
        <v>22</v>
      </c>
      <c r="H98" s="480">
        <v>22</v>
      </c>
      <c r="I98" s="481">
        <f>F98/$F$149</f>
        <v>1.4854827819041188E-2</v>
      </c>
      <c r="J98" s="481">
        <f>F98/$F$148</f>
        <v>0.15017064846416384</v>
      </c>
      <c r="K98" s="480">
        <v>25</v>
      </c>
      <c r="L98" s="480">
        <v>19</v>
      </c>
      <c r="M98" s="480">
        <v>32</v>
      </c>
      <c r="N98" s="480">
        <v>9</v>
      </c>
      <c r="O98" s="480">
        <v>1</v>
      </c>
      <c r="P98" s="480">
        <v>1</v>
      </c>
      <c r="Q98" s="480">
        <v>0</v>
      </c>
      <c r="R98" s="480">
        <v>0</v>
      </c>
      <c r="S98" s="480">
        <v>0</v>
      </c>
      <c r="T98" s="480">
        <v>1</v>
      </c>
      <c r="U98" s="480">
        <v>0</v>
      </c>
    </row>
    <row r="99" spans="1:21" x14ac:dyDescent="0.2">
      <c r="A99" s="656" t="s">
        <v>231</v>
      </c>
      <c r="B99" s="657"/>
      <c r="C99" s="657"/>
      <c r="D99" s="657"/>
      <c r="E99" s="475"/>
      <c r="F99" s="453">
        <f>SUM(F97:F98)</f>
        <v>53</v>
      </c>
      <c r="G99" s="453">
        <f>SUM(G97:G98)</f>
        <v>28</v>
      </c>
      <c r="H99" s="453">
        <f>SUM(H97:H98)</f>
        <v>25</v>
      </c>
      <c r="I99" s="454">
        <f>SUM(I97:I98)</f>
        <v>1.7893315327481431E-2</v>
      </c>
      <c r="J99" s="454">
        <f>SUM(J97:J98)</f>
        <v>0.1808873720136519</v>
      </c>
      <c r="K99" s="453">
        <f t="shared" ref="K99:U99" si="26">SUM(K97:K98)</f>
        <v>34</v>
      </c>
      <c r="L99" s="453">
        <f t="shared" si="26"/>
        <v>19</v>
      </c>
      <c r="M99" s="453">
        <f t="shared" si="26"/>
        <v>36</v>
      </c>
      <c r="N99" s="453">
        <f t="shared" si="26"/>
        <v>14</v>
      </c>
      <c r="O99" s="453">
        <f t="shared" si="26"/>
        <v>1</v>
      </c>
      <c r="P99" s="453">
        <f t="shared" si="26"/>
        <v>1</v>
      </c>
      <c r="Q99" s="453">
        <f t="shared" si="26"/>
        <v>0</v>
      </c>
      <c r="R99" s="453">
        <f t="shared" si="26"/>
        <v>0</v>
      </c>
      <c r="S99" s="453">
        <f t="shared" si="26"/>
        <v>0</v>
      </c>
      <c r="T99" s="453">
        <f t="shared" si="26"/>
        <v>1</v>
      </c>
      <c r="U99" s="453">
        <f t="shared" si="26"/>
        <v>0</v>
      </c>
    </row>
    <row r="100" spans="1:21" x14ac:dyDescent="0.2">
      <c r="A100" s="628" t="s">
        <v>232</v>
      </c>
      <c r="B100" s="629"/>
      <c r="C100" s="629"/>
      <c r="D100" s="629"/>
      <c r="E100" s="476"/>
      <c r="F100" s="455">
        <f>F95+F99</f>
        <v>775</v>
      </c>
      <c r="G100" s="455">
        <f t="shared" ref="G100:U100" si="27">G95+G99</f>
        <v>436</v>
      </c>
      <c r="H100" s="455">
        <f t="shared" si="27"/>
        <v>339</v>
      </c>
      <c r="I100" s="456">
        <f>I95+I99</f>
        <v>0.26164753544902092</v>
      </c>
      <c r="J100" s="457"/>
      <c r="K100" s="455">
        <f t="shared" si="27"/>
        <v>596</v>
      </c>
      <c r="L100" s="455">
        <f t="shared" si="27"/>
        <v>179</v>
      </c>
      <c r="M100" s="455">
        <f t="shared" si="27"/>
        <v>398</v>
      </c>
      <c r="N100" s="455">
        <f t="shared" si="27"/>
        <v>325</v>
      </c>
      <c r="O100" s="455">
        <f t="shared" si="27"/>
        <v>1</v>
      </c>
      <c r="P100" s="455">
        <f t="shared" si="27"/>
        <v>14</v>
      </c>
      <c r="Q100" s="455">
        <f t="shared" si="27"/>
        <v>4</v>
      </c>
      <c r="R100" s="455">
        <f t="shared" si="27"/>
        <v>18</v>
      </c>
      <c r="S100" s="455">
        <f t="shared" si="27"/>
        <v>0</v>
      </c>
      <c r="T100" s="455">
        <f t="shared" si="27"/>
        <v>14</v>
      </c>
      <c r="U100" s="455">
        <f t="shared" si="27"/>
        <v>1</v>
      </c>
    </row>
    <row r="101" spans="1:21" ht="3" customHeight="1" x14ac:dyDescent="0.25">
      <c r="A101" s="458"/>
      <c r="B101" s="458"/>
      <c r="C101" s="458"/>
      <c r="D101" s="458"/>
      <c r="E101" s="458"/>
      <c r="F101" s="458"/>
      <c r="G101" s="458"/>
      <c r="H101" s="458"/>
      <c r="I101" s="458"/>
      <c r="J101" s="458"/>
      <c r="K101" s="458"/>
      <c r="L101" s="458"/>
      <c r="M101" s="458"/>
      <c r="N101" s="458"/>
      <c r="O101" s="458"/>
      <c r="P101" s="458"/>
      <c r="Q101" s="458"/>
      <c r="R101" s="458"/>
      <c r="S101" s="458"/>
      <c r="T101" s="458"/>
      <c r="U101" s="458"/>
    </row>
    <row r="102" spans="1:21" ht="13.15" customHeight="1" x14ac:dyDescent="0.2">
      <c r="A102" s="218" t="s">
        <v>1435</v>
      </c>
      <c r="B102" s="459" t="s">
        <v>276</v>
      </c>
      <c r="C102" s="449" t="s">
        <v>68</v>
      </c>
      <c r="D102" s="450" t="s">
        <v>340</v>
      </c>
      <c r="E102" s="450" t="s">
        <v>407</v>
      </c>
      <c r="F102" s="451">
        <f t="shared" ref="F102" si="28">G102+H102</f>
        <v>170</v>
      </c>
      <c r="G102" s="451">
        <v>34</v>
      </c>
      <c r="H102" s="451">
        <v>136</v>
      </c>
      <c r="I102" s="452">
        <f>F102/$F$149</f>
        <v>5.7393652937204588E-2</v>
      </c>
      <c r="J102" s="452">
        <f>F102/$F$147</f>
        <v>6.3694267515923567E-2</v>
      </c>
      <c r="K102" s="451">
        <v>135</v>
      </c>
      <c r="L102" s="451">
        <v>35</v>
      </c>
      <c r="M102" s="451">
        <v>61</v>
      </c>
      <c r="N102" s="451">
        <v>97</v>
      </c>
      <c r="O102" s="451">
        <v>2</v>
      </c>
      <c r="P102" s="451">
        <v>3</v>
      </c>
      <c r="Q102" s="451">
        <v>0</v>
      </c>
      <c r="R102" s="451">
        <v>7</v>
      </c>
      <c r="S102" s="451">
        <v>0</v>
      </c>
      <c r="T102" s="451">
        <v>0</v>
      </c>
      <c r="U102" s="451">
        <v>0</v>
      </c>
    </row>
    <row r="103" spans="1:21" hidden="1" x14ac:dyDescent="0.2">
      <c r="A103" s="218"/>
      <c r="B103" s="459" t="s">
        <v>276</v>
      </c>
      <c r="C103" s="449" t="s">
        <v>68</v>
      </c>
      <c r="D103" s="450"/>
      <c r="E103" s="450"/>
      <c r="F103" s="451"/>
      <c r="G103" s="451"/>
      <c r="H103" s="451"/>
      <c r="I103" s="452">
        <f>F103/$F$149</f>
        <v>0</v>
      </c>
      <c r="J103" s="452">
        <f>F103/$F$147</f>
        <v>0</v>
      </c>
      <c r="K103" s="451"/>
      <c r="L103" s="451"/>
      <c r="M103" s="451"/>
      <c r="N103" s="451"/>
      <c r="O103" s="451"/>
      <c r="P103" s="451"/>
      <c r="Q103" s="451"/>
      <c r="R103" s="451"/>
      <c r="S103" s="451"/>
      <c r="T103" s="451"/>
      <c r="U103" s="451"/>
    </row>
    <row r="104" spans="1:21" x14ac:dyDescent="0.2">
      <c r="A104" s="630" t="s">
        <v>294</v>
      </c>
      <c r="B104" s="631"/>
      <c r="C104" s="631"/>
      <c r="D104" s="631"/>
      <c r="E104" s="475"/>
      <c r="F104" s="453">
        <f>SUM(F102:F103)</f>
        <v>170</v>
      </c>
      <c r="G104" s="453">
        <f t="shared" ref="G104:H104" si="29">SUM(G102:G103)</f>
        <v>34</v>
      </c>
      <c r="H104" s="453">
        <f t="shared" si="29"/>
        <v>136</v>
      </c>
      <c r="I104" s="454">
        <f>SUM(I102:I103)</f>
        <v>5.7393652937204588E-2</v>
      </c>
      <c r="J104" s="454">
        <f>SUM(J102:J103)</f>
        <v>6.3694267515923567E-2</v>
      </c>
      <c r="K104" s="453">
        <f>SUM(K102:K103)</f>
        <v>135</v>
      </c>
      <c r="L104" s="453">
        <f t="shared" ref="L104:M104" si="30">SUM(L102:L103)</f>
        <v>35</v>
      </c>
      <c r="M104" s="453">
        <f t="shared" si="30"/>
        <v>61</v>
      </c>
      <c r="N104" s="453">
        <f>SUM(N102:N103)</f>
        <v>97</v>
      </c>
      <c r="O104" s="453">
        <f t="shared" ref="O104:U104" si="31">SUM(O102:O103)</f>
        <v>2</v>
      </c>
      <c r="P104" s="453">
        <f t="shared" si="31"/>
        <v>3</v>
      </c>
      <c r="Q104" s="453">
        <f t="shared" si="31"/>
        <v>0</v>
      </c>
      <c r="R104" s="453">
        <f t="shared" si="31"/>
        <v>7</v>
      </c>
      <c r="S104" s="453">
        <f t="shared" si="31"/>
        <v>0</v>
      </c>
      <c r="T104" s="453">
        <f t="shared" si="31"/>
        <v>0</v>
      </c>
      <c r="U104" s="453">
        <f t="shared" si="31"/>
        <v>0</v>
      </c>
    </row>
    <row r="105" spans="1:21" x14ac:dyDescent="0.2">
      <c r="A105" s="628" t="s">
        <v>295</v>
      </c>
      <c r="B105" s="629"/>
      <c r="C105" s="629"/>
      <c r="D105" s="629"/>
      <c r="E105" s="476"/>
      <c r="F105" s="455">
        <f>F104</f>
        <v>170</v>
      </c>
      <c r="G105" s="455">
        <f t="shared" ref="G105:U105" si="32">G104</f>
        <v>34</v>
      </c>
      <c r="H105" s="455">
        <f t="shared" si="32"/>
        <v>136</v>
      </c>
      <c r="I105" s="456">
        <f>I104</f>
        <v>5.7393652937204588E-2</v>
      </c>
      <c r="J105" s="457"/>
      <c r="K105" s="455">
        <f t="shared" si="32"/>
        <v>135</v>
      </c>
      <c r="L105" s="455">
        <f t="shared" si="32"/>
        <v>35</v>
      </c>
      <c r="M105" s="455">
        <f t="shared" si="32"/>
        <v>61</v>
      </c>
      <c r="N105" s="455">
        <f t="shared" si="32"/>
        <v>97</v>
      </c>
      <c r="O105" s="455">
        <f t="shared" si="32"/>
        <v>2</v>
      </c>
      <c r="P105" s="455">
        <f t="shared" si="32"/>
        <v>3</v>
      </c>
      <c r="Q105" s="455">
        <f t="shared" si="32"/>
        <v>0</v>
      </c>
      <c r="R105" s="455">
        <f t="shared" si="32"/>
        <v>7</v>
      </c>
      <c r="S105" s="455">
        <f t="shared" si="32"/>
        <v>0</v>
      </c>
      <c r="T105" s="455">
        <f t="shared" si="32"/>
        <v>0</v>
      </c>
      <c r="U105" s="455">
        <f t="shared" si="32"/>
        <v>0</v>
      </c>
    </row>
    <row r="106" spans="1:21" ht="3" customHeight="1" x14ac:dyDescent="0.25">
      <c r="A106" s="458"/>
      <c r="B106" s="458"/>
      <c r="C106" s="458"/>
      <c r="D106" s="458"/>
      <c r="E106" s="458"/>
      <c r="F106" s="458"/>
      <c r="G106" s="458"/>
      <c r="H106" s="458"/>
      <c r="I106" s="458"/>
      <c r="J106" s="458"/>
      <c r="K106" s="458"/>
      <c r="L106" s="458"/>
      <c r="M106" s="458"/>
      <c r="N106" s="458"/>
      <c r="O106" s="458"/>
      <c r="P106" s="458"/>
      <c r="Q106" s="458"/>
      <c r="R106" s="458"/>
      <c r="S106" s="458"/>
      <c r="T106" s="458"/>
      <c r="U106" s="458"/>
    </row>
    <row r="107" spans="1:21" ht="30" customHeight="1" x14ac:dyDescent="0.25">
      <c r="A107" s="458"/>
      <c r="B107" s="458"/>
      <c r="C107" s="458"/>
      <c r="D107" s="458"/>
      <c r="E107" s="458"/>
      <c r="F107" s="458"/>
      <c r="G107" s="458"/>
      <c r="H107" s="458"/>
      <c r="I107" s="458"/>
      <c r="J107" s="458"/>
      <c r="K107" s="458"/>
      <c r="L107" s="458"/>
      <c r="M107" s="458"/>
      <c r="N107" s="458"/>
      <c r="O107" s="458"/>
      <c r="P107" s="458"/>
      <c r="Q107" s="458"/>
      <c r="R107" s="458"/>
      <c r="S107" s="458"/>
      <c r="T107" s="458"/>
      <c r="U107" s="458"/>
    </row>
    <row r="108" spans="1:21" x14ac:dyDescent="0.2">
      <c r="A108" s="218" t="s">
        <v>1435</v>
      </c>
      <c r="B108" s="218" t="s">
        <v>233</v>
      </c>
      <c r="C108" s="449" t="s">
        <v>68</v>
      </c>
      <c r="D108" s="450" t="s">
        <v>395</v>
      </c>
      <c r="E108" s="450" t="s">
        <v>407</v>
      </c>
      <c r="F108" s="451">
        <f t="shared" ref="F108:F118" si="33">G108+H108</f>
        <v>117</v>
      </c>
      <c r="G108" s="451">
        <v>104</v>
      </c>
      <c r="H108" s="451">
        <v>13</v>
      </c>
      <c r="I108" s="452">
        <f t="shared" ref="I108:I118" si="34">F108/$F$149</f>
        <v>3.9500337609723157E-2</v>
      </c>
      <c r="J108" s="452">
        <f t="shared" ref="J108:J118" si="35">F108/$F$147</f>
        <v>4.3836642937429747E-2</v>
      </c>
      <c r="K108" s="451">
        <v>95</v>
      </c>
      <c r="L108" s="451">
        <v>22</v>
      </c>
      <c r="M108" s="451">
        <v>50</v>
      </c>
      <c r="N108" s="451">
        <v>62</v>
      </c>
      <c r="O108" s="451">
        <v>0</v>
      </c>
      <c r="P108" s="451">
        <v>1</v>
      </c>
      <c r="Q108" s="451">
        <v>1</v>
      </c>
      <c r="R108" s="451">
        <v>3</v>
      </c>
      <c r="S108" s="451">
        <v>0</v>
      </c>
      <c r="T108" s="451">
        <v>0</v>
      </c>
      <c r="U108" s="451">
        <v>0</v>
      </c>
    </row>
    <row r="109" spans="1:21" x14ac:dyDescent="0.2">
      <c r="A109" s="218" t="s">
        <v>1435</v>
      </c>
      <c r="B109" s="218" t="s">
        <v>233</v>
      </c>
      <c r="C109" s="449" t="s">
        <v>68</v>
      </c>
      <c r="D109" s="450" t="s">
        <v>395</v>
      </c>
      <c r="E109" s="450" t="s">
        <v>435</v>
      </c>
      <c r="F109" s="451">
        <f t="shared" si="33"/>
        <v>2</v>
      </c>
      <c r="G109" s="451">
        <v>2</v>
      </c>
      <c r="H109" s="451">
        <v>0</v>
      </c>
      <c r="I109" s="452">
        <f t="shared" si="34"/>
        <v>6.7521944632005406E-4</v>
      </c>
      <c r="J109" s="452">
        <f t="shared" si="35"/>
        <v>7.4934432371674784E-4</v>
      </c>
      <c r="K109" s="451">
        <v>2</v>
      </c>
      <c r="L109" s="451">
        <v>0</v>
      </c>
      <c r="M109" s="451">
        <v>2</v>
      </c>
      <c r="N109" s="451">
        <v>0</v>
      </c>
      <c r="O109" s="451">
        <v>0</v>
      </c>
      <c r="P109" s="451">
        <v>0</v>
      </c>
      <c r="Q109" s="451">
        <v>0</v>
      </c>
      <c r="R109" s="451">
        <v>0</v>
      </c>
      <c r="S109" s="451">
        <v>0</v>
      </c>
      <c r="T109" s="451">
        <v>0</v>
      </c>
      <c r="U109" s="451">
        <v>0</v>
      </c>
    </row>
    <row r="110" spans="1:21" x14ac:dyDescent="0.2">
      <c r="A110" s="218" t="s">
        <v>1435</v>
      </c>
      <c r="B110" s="218" t="s">
        <v>233</v>
      </c>
      <c r="C110" s="449" t="s">
        <v>68</v>
      </c>
      <c r="D110" s="450" t="s">
        <v>395</v>
      </c>
      <c r="E110" s="450" t="s">
        <v>1440</v>
      </c>
      <c r="F110" s="451">
        <f t="shared" si="33"/>
        <v>2</v>
      </c>
      <c r="G110" s="451">
        <v>2</v>
      </c>
      <c r="H110" s="451">
        <v>0</v>
      </c>
      <c r="I110" s="452">
        <f t="shared" si="34"/>
        <v>6.7521944632005406E-4</v>
      </c>
      <c r="J110" s="452">
        <f t="shared" si="35"/>
        <v>7.4934432371674784E-4</v>
      </c>
      <c r="K110" s="451">
        <v>0</v>
      </c>
      <c r="L110" s="451">
        <v>2</v>
      </c>
      <c r="M110" s="451">
        <v>2</v>
      </c>
      <c r="N110" s="451">
        <v>0</v>
      </c>
      <c r="O110" s="451">
        <v>0</v>
      </c>
      <c r="P110" s="451">
        <v>0</v>
      </c>
      <c r="Q110" s="451">
        <v>0</v>
      </c>
      <c r="R110" s="451">
        <v>0</v>
      </c>
      <c r="S110" s="451">
        <v>0</v>
      </c>
      <c r="T110" s="451">
        <v>0</v>
      </c>
      <c r="U110" s="451">
        <v>0</v>
      </c>
    </row>
    <row r="111" spans="1:21" x14ac:dyDescent="0.2">
      <c r="A111" s="218" t="s">
        <v>1435</v>
      </c>
      <c r="B111" s="218" t="s">
        <v>233</v>
      </c>
      <c r="C111" s="449" t="s">
        <v>68</v>
      </c>
      <c r="D111" s="450" t="s">
        <v>396</v>
      </c>
      <c r="E111" s="450" t="s">
        <v>407</v>
      </c>
      <c r="F111" s="451">
        <f t="shared" si="33"/>
        <v>1</v>
      </c>
      <c r="G111" s="451">
        <v>0</v>
      </c>
      <c r="H111" s="451">
        <v>1</v>
      </c>
      <c r="I111" s="452">
        <f t="shared" si="34"/>
        <v>3.3760972316002703E-4</v>
      </c>
      <c r="J111" s="452">
        <f t="shared" si="35"/>
        <v>3.7467216185837392E-4</v>
      </c>
      <c r="K111" s="451">
        <v>0</v>
      </c>
      <c r="L111" s="451">
        <v>1</v>
      </c>
      <c r="M111" s="451">
        <v>0</v>
      </c>
      <c r="N111" s="451">
        <v>1</v>
      </c>
      <c r="O111" s="451">
        <v>0</v>
      </c>
      <c r="P111" s="451">
        <v>0</v>
      </c>
      <c r="Q111" s="451">
        <v>0</v>
      </c>
      <c r="R111" s="451">
        <v>0</v>
      </c>
      <c r="S111" s="451">
        <v>0</v>
      </c>
      <c r="T111" s="451">
        <v>0</v>
      </c>
      <c r="U111" s="451">
        <v>0</v>
      </c>
    </row>
    <row r="112" spans="1:21" x14ac:dyDescent="0.2">
      <c r="A112" s="218" t="s">
        <v>1435</v>
      </c>
      <c r="B112" s="218" t="s">
        <v>233</v>
      </c>
      <c r="C112" s="449" t="s">
        <v>68</v>
      </c>
      <c r="D112" s="450" t="s">
        <v>397</v>
      </c>
      <c r="E112" s="450"/>
      <c r="F112" s="451">
        <f t="shared" si="33"/>
        <v>52</v>
      </c>
      <c r="G112" s="451">
        <v>28</v>
      </c>
      <c r="H112" s="451">
        <v>24</v>
      </c>
      <c r="I112" s="452">
        <f t="shared" si="34"/>
        <v>1.7555705604321403E-2</v>
      </c>
      <c r="J112" s="452">
        <f t="shared" si="35"/>
        <v>1.9482952416635443E-2</v>
      </c>
      <c r="K112" s="451">
        <v>36</v>
      </c>
      <c r="L112" s="451">
        <v>16</v>
      </c>
      <c r="M112" s="451">
        <v>19</v>
      </c>
      <c r="N112" s="451">
        <v>30</v>
      </c>
      <c r="O112" s="451">
        <v>1</v>
      </c>
      <c r="P112" s="451">
        <v>1</v>
      </c>
      <c r="Q112" s="451">
        <v>0</v>
      </c>
      <c r="R112" s="451">
        <v>1</v>
      </c>
      <c r="S112" s="451">
        <v>0</v>
      </c>
      <c r="T112" s="451">
        <v>0</v>
      </c>
      <c r="U112" s="451">
        <v>0</v>
      </c>
    </row>
    <row r="113" spans="1:21" x14ac:dyDescent="0.2">
      <c r="A113" s="218" t="s">
        <v>1435</v>
      </c>
      <c r="B113" s="218" t="s">
        <v>233</v>
      </c>
      <c r="C113" s="449" t="s">
        <v>68</v>
      </c>
      <c r="D113" s="450" t="s">
        <v>397</v>
      </c>
      <c r="E113" s="450" t="s">
        <v>436</v>
      </c>
      <c r="F113" s="451">
        <f t="shared" si="33"/>
        <v>4</v>
      </c>
      <c r="G113" s="451">
        <v>2</v>
      </c>
      <c r="H113" s="451">
        <v>2</v>
      </c>
      <c r="I113" s="452">
        <f t="shared" si="34"/>
        <v>1.3504388926401081E-3</v>
      </c>
      <c r="J113" s="452">
        <f t="shared" si="35"/>
        <v>1.4986886474334957E-3</v>
      </c>
      <c r="K113" s="451">
        <v>2</v>
      </c>
      <c r="L113" s="451">
        <v>2</v>
      </c>
      <c r="M113" s="451">
        <v>1</v>
      </c>
      <c r="N113" s="451">
        <v>2</v>
      </c>
      <c r="O113" s="451">
        <v>0</v>
      </c>
      <c r="P113" s="451">
        <v>0</v>
      </c>
      <c r="Q113" s="451">
        <v>0</v>
      </c>
      <c r="R113" s="451">
        <v>1</v>
      </c>
      <c r="S113" s="451">
        <v>0</v>
      </c>
      <c r="T113" s="451">
        <v>0</v>
      </c>
      <c r="U113" s="451">
        <v>0</v>
      </c>
    </row>
    <row r="114" spans="1:21" x14ac:dyDescent="0.2">
      <c r="A114" s="218" t="s">
        <v>1435</v>
      </c>
      <c r="B114" s="218" t="s">
        <v>233</v>
      </c>
      <c r="C114" s="449" t="s">
        <v>68</v>
      </c>
      <c r="D114" s="450" t="s">
        <v>397</v>
      </c>
      <c r="E114" s="450" t="s">
        <v>664</v>
      </c>
      <c r="F114" s="451">
        <f t="shared" si="33"/>
        <v>16</v>
      </c>
      <c r="G114" s="451">
        <v>9</v>
      </c>
      <c r="H114" s="451">
        <v>7</v>
      </c>
      <c r="I114" s="452">
        <f t="shared" si="34"/>
        <v>5.4017555705604325E-3</v>
      </c>
      <c r="J114" s="452">
        <f t="shared" si="35"/>
        <v>5.9947545897339827E-3</v>
      </c>
      <c r="K114" s="451">
        <v>14</v>
      </c>
      <c r="L114" s="451">
        <v>2</v>
      </c>
      <c r="M114" s="451">
        <v>8</v>
      </c>
      <c r="N114" s="451">
        <v>7</v>
      </c>
      <c r="O114" s="451">
        <v>0</v>
      </c>
      <c r="P114" s="451">
        <v>0</v>
      </c>
      <c r="Q114" s="451">
        <v>0</v>
      </c>
      <c r="R114" s="451">
        <v>1</v>
      </c>
      <c r="S114" s="451">
        <v>0</v>
      </c>
      <c r="T114" s="451">
        <v>0</v>
      </c>
      <c r="U114" s="451">
        <v>0</v>
      </c>
    </row>
    <row r="115" spans="1:21" x14ac:dyDescent="0.2">
      <c r="A115" s="218" t="s">
        <v>1435</v>
      </c>
      <c r="B115" s="218" t="s">
        <v>233</v>
      </c>
      <c r="C115" s="449" t="s">
        <v>68</v>
      </c>
      <c r="D115" s="450" t="s">
        <v>397</v>
      </c>
      <c r="E115" s="450" t="s">
        <v>1441</v>
      </c>
      <c r="F115" s="451">
        <f t="shared" si="33"/>
        <v>1</v>
      </c>
      <c r="G115" s="451">
        <v>1</v>
      </c>
      <c r="H115" s="451">
        <v>0</v>
      </c>
      <c r="I115" s="452">
        <f t="shared" si="34"/>
        <v>3.3760972316002703E-4</v>
      </c>
      <c r="J115" s="452">
        <f t="shared" si="35"/>
        <v>3.7467216185837392E-4</v>
      </c>
      <c r="K115" s="451">
        <v>0</v>
      </c>
      <c r="L115" s="451">
        <v>1</v>
      </c>
      <c r="M115" s="451">
        <v>0</v>
      </c>
      <c r="N115" s="451">
        <v>1</v>
      </c>
      <c r="O115" s="451">
        <v>0</v>
      </c>
      <c r="P115" s="451">
        <v>0</v>
      </c>
      <c r="Q115" s="451">
        <v>0</v>
      </c>
      <c r="R115" s="451">
        <v>0</v>
      </c>
      <c r="S115" s="451">
        <v>0</v>
      </c>
      <c r="T115" s="451">
        <v>0</v>
      </c>
      <c r="U115" s="451">
        <v>0</v>
      </c>
    </row>
    <row r="116" spans="1:21" x14ac:dyDescent="0.2">
      <c r="A116" s="218" t="s">
        <v>1435</v>
      </c>
      <c r="B116" s="218" t="s">
        <v>233</v>
      </c>
      <c r="C116" s="449" t="s">
        <v>68</v>
      </c>
      <c r="D116" s="450" t="s">
        <v>397</v>
      </c>
      <c r="E116" s="450" t="s">
        <v>415</v>
      </c>
      <c r="F116" s="451">
        <f t="shared" si="33"/>
        <v>1</v>
      </c>
      <c r="G116" s="451">
        <v>1</v>
      </c>
      <c r="H116" s="451">
        <v>0</v>
      </c>
      <c r="I116" s="452">
        <f t="shared" si="34"/>
        <v>3.3760972316002703E-4</v>
      </c>
      <c r="J116" s="452">
        <f t="shared" si="35"/>
        <v>3.7467216185837392E-4</v>
      </c>
      <c r="K116" s="451">
        <v>0</v>
      </c>
      <c r="L116" s="451">
        <v>1</v>
      </c>
      <c r="M116" s="451">
        <v>0</v>
      </c>
      <c r="N116" s="451">
        <v>1</v>
      </c>
      <c r="O116" s="451">
        <v>0</v>
      </c>
      <c r="P116" s="451">
        <v>0</v>
      </c>
      <c r="Q116" s="451">
        <v>0</v>
      </c>
      <c r="R116" s="451">
        <v>0</v>
      </c>
      <c r="S116" s="451">
        <v>0</v>
      </c>
      <c r="T116" s="451">
        <v>0</v>
      </c>
      <c r="U116" s="451">
        <v>0</v>
      </c>
    </row>
    <row r="117" spans="1:21" x14ac:dyDescent="0.2">
      <c r="A117" s="218" t="s">
        <v>1435</v>
      </c>
      <c r="B117" s="218" t="s">
        <v>233</v>
      </c>
      <c r="C117" s="449" t="s">
        <v>68</v>
      </c>
      <c r="D117" s="450" t="s">
        <v>397</v>
      </c>
      <c r="E117" s="450" t="s">
        <v>437</v>
      </c>
      <c r="F117" s="451">
        <f t="shared" si="33"/>
        <v>12</v>
      </c>
      <c r="G117" s="451">
        <v>4</v>
      </c>
      <c r="H117" s="451">
        <v>8</v>
      </c>
      <c r="I117" s="452">
        <f t="shared" si="34"/>
        <v>4.0513166779203242E-3</v>
      </c>
      <c r="J117" s="452">
        <f t="shared" si="35"/>
        <v>4.4960659423004872E-3</v>
      </c>
      <c r="K117" s="451">
        <v>11</v>
      </c>
      <c r="L117" s="451">
        <v>1</v>
      </c>
      <c r="M117" s="451">
        <v>4</v>
      </c>
      <c r="N117" s="451">
        <v>8</v>
      </c>
      <c r="O117" s="451">
        <v>0</v>
      </c>
      <c r="P117" s="451">
        <v>0</v>
      </c>
      <c r="Q117" s="451">
        <v>0</v>
      </c>
      <c r="R117" s="451">
        <v>0</v>
      </c>
      <c r="S117" s="451">
        <v>0</v>
      </c>
      <c r="T117" s="451">
        <v>0</v>
      </c>
      <c r="U117" s="451">
        <v>0</v>
      </c>
    </row>
    <row r="118" spans="1:21" x14ac:dyDescent="0.2">
      <c r="A118" s="218" t="s">
        <v>1435</v>
      </c>
      <c r="B118" s="218" t="s">
        <v>233</v>
      </c>
      <c r="C118" s="449" t="s">
        <v>68</v>
      </c>
      <c r="D118" s="450" t="s">
        <v>398</v>
      </c>
      <c r="E118" s="450"/>
      <c r="F118" s="451">
        <f t="shared" si="33"/>
        <v>10</v>
      </c>
      <c r="G118" s="451">
        <v>9</v>
      </c>
      <c r="H118" s="451">
        <v>1</v>
      </c>
      <c r="I118" s="452">
        <f t="shared" si="34"/>
        <v>3.37609723160027E-3</v>
      </c>
      <c r="J118" s="452">
        <f t="shared" si="35"/>
        <v>3.7467216185837391E-3</v>
      </c>
      <c r="K118" s="451">
        <v>8</v>
      </c>
      <c r="L118" s="451">
        <v>2</v>
      </c>
      <c r="M118" s="451">
        <v>6</v>
      </c>
      <c r="N118" s="451">
        <v>3</v>
      </c>
      <c r="O118" s="451">
        <v>0</v>
      </c>
      <c r="P118" s="451">
        <v>1</v>
      </c>
      <c r="Q118" s="451">
        <v>0</v>
      </c>
      <c r="R118" s="451">
        <v>0</v>
      </c>
      <c r="S118" s="451">
        <v>0</v>
      </c>
      <c r="T118" s="451">
        <v>0</v>
      </c>
      <c r="U118" s="451">
        <v>0</v>
      </c>
    </row>
    <row r="119" spans="1:21" hidden="1" x14ac:dyDescent="0.2">
      <c r="A119" s="218"/>
      <c r="B119" s="218"/>
      <c r="C119" s="449"/>
      <c r="D119" s="450"/>
      <c r="E119" s="450"/>
      <c r="F119" s="451"/>
      <c r="G119" s="451"/>
      <c r="H119" s="451"/>
      <c r="I119" s="452"/>
      <c r="J119" s="452"/>
      <c r="K119" s="451"/>
      <c r="L119" s="451"/>
      <c r="M119" s="451"/>
      <c r="N119" s="451"/>
      <c r="O119" s="451"/>
      <c r="P119" s="451"/>
      <c r="Q119" s="451"/>
      <c r="R119" s="451"/>
      <c r="S119" s="451"/>
      <c r="T119" s="451"/>
      <c r="U119" s="451"/>
    </row>
    <row r="120" spans="1:21" hidden="1" x14ac:dyDescent="0.2">
      <c r="A120" s="218"/>
      <c r="B120" s="218"/>
      <c r="C120" s="449"/>
      <c r="D120" s="450"/>
      <c r="E120" s="450"/>
      <c r="F120" s="451"/>
      <c r="G120" s="451"/>
      <c r="H120" s="451"/>
      <c r="I120" s="452"/>
      <c r="J120" s="452"/>
      <c r="K120" s="451"/>
      <c r="L120" s="451"/>
      <c r="M120" s="451"/>
      <c r="N120" s="451"/>
      <c r="O120" s="451"/>
      <c r="P120" s="451"/>
      <c r="Q120" s="451"/>
      <c r="R120" s="451"/>
      <c r="S120" s="451"/>
      <c r="T120" s="451"/>
      <c r="U120" s="451"/>
    </row>
    <row r="121" spans="1:21" hidden="1" x14ac:dyDescent="0.2">
      <c r="A121" s="218"/>
      <c r="B121" s="218"/>
      <c r="C121" s="449"/>
      <c r="D121" s="450"/>
      <c r="E121" s="450"/>
      <c r="F121" s="451"/>
      <c r="G121" s="451"/>
      <c r="H121" s="451"/>
      <c r="I121" s="452"/>
      <c r="J121" s="452"/>
      <c r="K121" s="451"/>
      <c r="L121" s="451"/>
      <c r="M121" s="451"/>
      <c r="N121" s="451"/>
      <c r="O121" s="451"/>
      <c r="P121" s="451"/>
      <c r="Q121" s="451"/>
      <c r="R121" s="451"/>
      <c r="S121" s="451"/>
      <c r="T121" s="451"/>
      <c r="U121" s="451"/>
    </row>
    <row r="122" spans="1:21" x14ac:dyDescent="0.2">
      <c r="A122" s="630" t="s">
        <v>234</v>
      </c>
      <c r="B122" s="631"/>
      <c r="C122" s="631"/>
      <c r="D122" s="631"/>
      <c r="E122" s="475"/>
      <c r="F122" s="453">
        <f t="shared" ref="F122:U122" si="36">SUM(F108:F121)</f>
        <v>218</v>
      </c>
      <c r="G122" s="453">
        <f t="shared" si="36"/>
        <v>162</v>
      </c>
      <c r="H122" s="453">
        <f t="shared" si="36"/>
        <v>56</v>
      </c>
      <c r="I122" s="454">
        <f t="shared" si="36"/>
        <v>7.3598919648885888E-2</v>
      </c>
      <c r="J122" s="454">
        <f t="shared" si="36"/>
        <v>8.1678531285125519E-2</v>
      </c>
      <c r="K122" s="453">
        <f t="shared" si="36"/>
        <v>168</v>
      </c>
      <c r="L122" s="453">
        <f t="shared" si="36"/>
        <v>50</v>
      </c>
      <c r="M122" s="453">
        <f t="shared" si="36"/>
        <v>92</v>
      </c>
      <c r="N122" s="453">
        <f t="shared" si="36"/>
        <v>115</v>
      </c>
      <c r="O122" s="453">
        <f t="shared" si="36"/>
        <v>1</v>
      </c>
      <c r="P122" s="453">
        <f t="shared" si="36"/>
        <v>3</v>
      </c>
      <c r="Q122" s="453">
        <f t="shared" si="36"/>
        <v>1</v>
      </c>
      <c r="R122" s="453">
        <f t="shared" si="36"/>
        <v>6</v>
      </c>
      <c r="S122" s="453">
        <f t="shared" si="36"/>
        <v>0</v>
      </c>
      <c r="T122" s="453">
        <f t="shared" si="36"/>
        <v>0</v>
      </c>
      <c r="U122" s="453">
        <f t="shared" si="36"/>
        <v>0</v>
      </c>
    </row>
    <row r="123" spans="1:21" x14ac:dyDescent="0.2">
      <c r="A123" s="218" t="s">
        <v>1435</v>
      </c>
      <c r="B123" s="482" t="s">
        <v>233</v>
      </c>
      <c r="C123" s="483" t="s">
        <v>67</v>
      </c>
      <c r="D123" s="450" t="s">
        <v>399</v>
      </c>
      <c r="E123" s="450" t="s">
        <v>407</v>
      </c>
      <c r="F123" s="451">
        <f t="shared" ref="F123:F129" si="37">G123+H123</f>
        <v>17</v>
      </c>
      <c r="G123" s="451">
        <v>10</v>
      </c>
      <c r="H123" s="451">
        <v>7</v>
      </c>
      <c r="I123" s="452">
        <f t="shared" ref="I123:I129" si="38">F123/$F$149</f>
        <v>5.7393652937204592E-3</v>
      </c>
      <c r="J123" s="452">
        <f t="shared" ref="J123:J129" si="39">F123/$F$148</f>
        <v>5.8020477815699661E-2</v>
      </c>
      <c r="K123" s="451">
        <v>2</v>
      </c>
      <c r="L123" s="451">
        <v>15</v>
      </c>
      <c r="M123" s="451">
        <v>10</v>
      </c>
      <c r="N123" s="451">
        <v>6</v>
      </c>
      <c r="O123" s="451">
        <v>0</v>
      </c>
      <c r="P123" s="451">
        <v>1</v>
      </c>
      <c r="Q123" s="451">
        <v>0</v>
      </c>
      <c r="R123" s="451">
        <v>0</v>
      </c>
      <c r="S123" s="451">
        <v>0</v>
      </c>
      <c r="T123" s="451">
        <v>0</v>
      </c>
      <c r="U123" s="451">
        <v>0</v>
      </c>
    </row>
    <row r="124" spans="1:21" x14ac:dyDescent="0.2">
      <c r="A124" s="218" t="s">
        <v>1435</v>
      </c>
      <c r="B124" s="484" t="s">
        <v>233</v>
      </c>
      <c r="C124" s="485" t="s">
        <v>67</v>
      </c>
      <c r="D124" s="450" t="s">
        <v>400</v>
      </c>
      <c r="E124" s="450" t="s">
        <v>407</v>
      </c>
      <c r="F124" s="451">
        <f t="shared" si="37"/>
        <v>38</v>
      </c>
      <c r="G124" s="451">
        <v>32</v>
      </c>
      <c r="H124" s="451">
        <v>6</v>
      </c>
      <c r="I124" s="452">
        <f t="shared" si="38"/>
        <v>1.2829169480081027E-2</v>
      </c>
      <c r="J124" s="452">
        <f t="shared" si="39"/>
        <v>0.12969283276450511</v>
      </c>
      <c r="K124" s="451">
        <v>17</v>
      </c>
      <c r="L124" s="451">
        <v>21</v>
      </c>
      <c r="M124" s="451">
        <v>19</v>
      </c>
      <c r="N124" s="451">
        <v>15</v>
      </c>
      <c r="O124" s="451">
        <v>0</v>
      </c>
      <c r="P124" s="451">
        <v>2</v>
      </c>
      <c r="Q124" s="451">
        <v>2</v>
      </c>
      <c r="R124" s="451">
        <v>0</v>
      </c>
      <c r="S124" s="451">
        <v>0</v>
      </c>
      <c r="T124" s="451">
        <v>0</v>
      </c>
      <c r="U124" s="451">
        <v>0</v>
      </c>
    </row>
    <row r="125" spans="1:21" x14ac:dyDescent="0.2">
      <c r="A125" s="218" t="s">
        <v>1435</v>
      </c>
      <c r="B125" s="459" t="s">
        <v>233</v>
      </c>
      <c r="C125" s="460" t="s">
        <v>67</v>
      </c>
      <c r="D125" s="450" t="s">
        <v>395</v>
      </c>
      <c r="E125" s="450" t="s">
        <v>407</v>
      </c>
      <c r="F125" s="451">
        <f t="shared" si="37"/>
        <v>1</v>
      </c>
      <c r="G125" s="451">
        <v>1</v>
      </c>
      <c r="H125" s="451">
        <v>0</v>
      </c>
      <c r="I125" s="452">
        <f t="shared" si="38"/>
        <v>3.3760972316002703E-4</v>
      </c>
      <c r="J125" s="452">
        <f t="shared" si="39"/>
        <v>3.4129692832764505E-3</v>
      </c>
      <c r="K125" s="451">
        <v>1</v>
      </c>
      <c r="L125" s="451">
        <v>0</v>
      </c>
      <c r="M125" s="451">
        <v>1</v>
      </c>
      <c r="N125" s="451">
        <v>0</v>
      </c>
      <c r="O125" s="451">
        <v>0</v>
      </c>
      <c r="P125" s="451">
        <v>0</v>
      </c>
      <c r="Q125" s="451">
        <v>0</v>
      </c>
      <c r="R125" s="451">
        <v>0</v>
      </c>
      <c r="S125" s="451">
        <v>0</v>
      </c>
      <c r="T125" s="451">
        <v>0</v>
      </c>
      <c r="U125" s="451">
        <v>0</v>
      </c>
    </row>
    <row r="126" spans="1:21" ht="22.5" x14ac:dyDescent="0.2">
      <c r="A126" s="218" t="s">
        <v>1435</v>
      </c>
      <c r="B126" s="459" t="s">
        <v>233</v>
      </c>
      <c r="C126" s="460" t="s">
        <v>67</v>
      </c>
      <c r="D126" s="218" t="s">
        <v>647</v>
      </c>
      <c r="E126" s="450"/>
      <c r="F126" s="451">
        <f t="shared" si="37"/>
        <v>9</v>
      </c>
      <c r="G126" s="451">
        <v>8</v>
      </c>
      <c r="H126" s="451">
        <v>1</v>
      </c>
      <c r="I126" s="452">
        <f t="shared" si="38"/>
        <v>3.0384875084402429E-3</v>
      </c>
      <c r="J126" s="452">
        <f t="shared" si="39"/>
        <v>3.0716723549488054E-2</v>
      </c>
      <c r="K126" s="451">
        <v>0</v>
      </c>
      <c r="L126" s="451">
        <v>9</v>
      </c>
      <c r="M126" s="451">
        <v>4</v>
      </c>
      <c r="N126" s="451">
        <v>5</v>
      </c>
      <c r="O126" s="451">
        <v>0</v>
      </c>
      <c r="P126" s="451">
        <v>0</v>
      </c>
      <c r="Q126" s="451">
        <v>0</v>
      </c>
      <c r="R126" s="451">
        <v>0</v>
      </c>
      <c r="S126" s="451">
        <v>0</v>
      </c>
      <c r="T126" s="451">
        <v>0</v>
      </c>
      <c r="U126" s="451">
        <v>0</v>
      </c>
    </row>
    <row r="127" spans="1:21" x14ac:dyDescent="0.2">
      <c r="A127" s="218" t="s">
        <v>1435</v>
      </c>
      <c r="B127" s="459" t="s">
        <v>233</v>
      </c>
      <c r="C127" s="460" t="s">
        <v>67</v>
      </c>
      <c r="D127" s="450" t="s">
        <v>401</v>
      </c>
      <c r="E127" s="450" t="s">
        <v>407</v>
      </c>
      <c r="F127" s="451">
        <f t="shared" si="37"/>
        <v>38</v>
      </c>
      <c r="G127" s="451">
        <v>30</v>
      </c>
      <c r="H127" s="451">
        <v>8</v>
      </c>
      <c r="I127" s="452">
        <f t="shared" si="38"/>
        <v>1.2829169480081027E-2</v>
      </c>
      <c r="J127" s="452">
        <f t="shared" si="39"/>
        <v>0.12969283276450511</v>
      </c>
      <c r="K127" s="451">
        <v>0</v>
      </c>
      <c r="L127" s="451">
        <v>38</v>
      </c>
      <c r="M127" s="451">
        <v>19</v>
      </c>
      <c r="N127" s="451">
        <v>17</v>
      </c>
      <c r="O127" s="451">
        <v>0</v>
      </c>
      <c r="P127" s="451">
        <v>1</v>
      </c>
      <c r="Q127" s="451">
        <v>0</v>
      </c>
      <c r="R127" s="451">
        <v>1</v>
      </c>
      <c r="S127" s="451">
        <v>0</v>
      </c>
      <c r="T127" s="451">
        <v>0</v>
      </c>
      <c r="U127" s="451">
        <v>0</v>
      </c>
    </row>
    <row r="128" spans="1:21" x14ac:dyDescent="0.2">
      <c r="A128" s="218" t="s">
        <v>1435</v>
      </c>
      <c r="B128" s="459" t="s">
        <v>233</v>
      </c>
      <c r="C128" s="460" t="s">
        <v>67</v>
      </c>
      <c r="D128" s="461" t="s">
        <v>638</v>
      </c>
      <c r="E128" s="450" t="s">
        <v>407</v>
      </c>
      <c r="F128" s="451">
        <f t="shared" si="37"/>
        <v>5</v>
      </c>
      <c r="G128" s="451">
        <v>3</v>
      </c>
      <c r="H128" s="451">
        <v>2</v>
      </c>
      <c r="I128" s="452">
        <f t="shared" si="38"/>
        <v>1.688048615800135E-3</v>
      </c>
      <c r="J128" s="452">
        <f t="shared" si="39"/>
        <v>1.7064846416382253E-2</v>
      </c>
      <c r="K128" s="451">
        <v>0</v>
      </c>
      <c r="L128" s="451">
        <v>5</v>
      </c>
      <c r="M128" s="451">
        <v>2</v>
      </c>
      <c r="N128" s="451">
        <v>3</v>
      </c>
      <c r="O128" s="451">
        <v>0</v>
      </c>
      <c r="P128" s="451">
        <v>0</v>
      </c>
      <c r="Q128" s="451">
        <v>0</v>
      </c>
      <c r="R128" s="451">
        <v>0</v>
      </c>
      <c r="S128" s="451">
        <v>0</v>
      </c>
      <c r="T128" s="451">
        <v>0</v>
      </c>
      <c r="U128" s="451">
        <v>0</v>
      </c>
    </row>
    <row r="129" spans="1:21" x14ac:dyDescent="0.2">
      <c r="A129" s="218" t="s">
        <v>1435</v>
      </c>
      <c r="B129" s="459" t="s">
        <v>233</v>
      </c>
      <c r="C129" s="460" t="s">
        <v>67</v>
      </c>
      <c r="D129" s="461" t="s">
        <v>637</v>
      </c>
      <c r="E129" s="450" t="s">
        <v>407</v>
      </c>
      <c r="F129" s="451">
        <f t="shared" si="37"/>
        <v>27</v>
      </c>
      <c r="G129" s="451">
        <v>13</v>
      </c>
      <c r="H129" s="451">
        <v>14</v>
      </c>
      <c r="I129" s="452">
        <f t="shared" si="38"/>
        <v>9.1154625253207291E-3</v>
      </c>
      <c r="J129" s="452">
        <f t="shared" si="39"/>
        <v>9.2150170648464161E-2</v>
      </c>
      <c r="K129" s="451">
        <v>18</v>
      </c>
      <c r="L129" s="451">
        <v>9</v>
      </c>
      <c r="M129" s="451">
        <v>11</v>
      </c>
      <c r="N129" s="451">
        <v>10</v>
      </c>
      <c r="O129" s="451">
        <v>0</v>
      </c>
      <c r="P129" s="451">
        <v>3</v>
      </c>
      <c r="Q129" s="451">
        <v>0</v>
      </c>
      <c r="R129" s="451">
        <v>1</v>
      </c>
      <c r="S129" s="451">
        <v>0</v>
      </c>
      <c r="T129" s="451">
        <v>0</v>
      </c>
      <c r="U129" s="451">
        <v>2</v>
      </c>
    </row>
    <row r="130" spans="1:21" hidden="1" x14ac:dyDescent="0.2">
      <c r="A130" s="218"/>
      <c r="B130" s="459"/>
      <c r="C130" s="460"/>
      <c r="D130" s="461"/>
      <c r="E130" s="450"/>
      <c r="F130" s="451"/>
      <c r="G130" s="451"/>
      <c r="H130" s="451"/>
      <c r="I130" s="452"/>
      <c r="J130" s="452"/>
      <c r="K130" s="451"/>
      <c r="L130" s="451"/>
      <c r="M130" s="451"/>
      <c r="N130" s="451"/>
      <c r="O130" s="451"/>
      <c r="P130" s="451"/>
      <c r="Q130" s="451"/>
      <c r="R130" s="451"/>
      <c r="S130" s="451"/>
      <c r="T130" s="451"/>
      <c r="U130" s="451"/>
    </row>
    <row r="131" spans="1:21" ht="24.6" hidden="1" customHeight="1" x14ac:dyDescent="0.2">
      <c r="A131" s="218"/>
      <c r="B131" s="459"/>
      <c r="C131" s="460"/>
      <c r="D131" s="218"/>
      <c r="E131" s="450"/>
      <c r="F131" s="451"/>
      <c r="G131" s="451"/>
      <c r="H131" s="451"/>
      <c r="I131" s="452"/>
      <c r="J131" s="452"/>
      <c r="K131" s="451"/>
      <c r="L131" s="451"/>
      <c r="M131" s="451"/>
      <c r="N131" s="451"/>
      <c r="O131" s="451"/>
      <c r="P131" s="451"/>
      <c r="Q131" s="451"/>
      <c r="R131" s="451"/>
      <c r="S131" s="451"/>
      <c r="T131" s="451"/>
      <c r="U131" s="451"/>
    </row>
    <row r="132" spans="1:21" x14ac:dyDescent="0.2">
      <c r="A132" s="630" t="s">
        <v>235</v>
      </c>
      <c r="B132" s="631"/>
      <c r="C132" s="631"/>
      <c r="D132" s="631"/>
      <c r="E132" s="475"/>
      <c r="F132" s="453">
        <f t="shared" ref="F132:U132" si="40">SUM(F123:F131)</f>
        <v>135</v>
      </c>
      <c r="G132" s="453">
        <f t="shared" si="40"/>
        <v>97</v>
      </c>
      <c r="H132" s="453">
        <f t="shared" si="40"/>
        <v>38</v>
      </c>
      <c r="I132" s="454">
        <f t="shared" si="40"/>
        <v>4.5577312626603653E-2</v>
      </c>
      <c r="J132" s="454">
        <f t="shared" si="40"/>
        <v>0.46075085324232073</v>
      </c>
      <c r="K132" s="453">
        <f t="shared" si="40"/>
        <v>38</v>
      </c>
      <c r="L132" s="453">
        <f t="shared" si="40"/>
        <v>97</v>
      </c>
      <c r="M132" s="453">
        <f t="shared" si="40"/>
        <v>66</v>
      </c>
      <c r="N132" s="453">
        <f t="shared" si="40"/>
        <v>56</v>
      </c>
      <c r="O132" s="453">
        <f t="shared" si="40"/>
        <v>0</v>
      </c>
      <c r="P132" s="453">
        <f t="shared" si="40"/>
        <v>7</v>
      </c>
      <c r="Q132" s="453">
        <f t="shared" si="40"/>
        <v>2</v>
      </c>
      <c r="R132" s="453">
        <f t="shared" si="40"/>
        <v>2</v>
      </c>
      <c r="S132" s="453">
        <f t="shared" si="40"/>
        <v>0</v>
      </c>
      <c r="T132" s="453">
        <f t="shared" si="40"/>
        <v>0</v>
      </c>
      <c r="U132" s="453">
        <f t="shared" si="40"/>
        <v>2</v>
      </c>
    </row>
    <row r="133" spans="1:21" x14ac:dyDescent="0.2">
      <c r="A133" s="628" t="s">
        <v>236</v>
      </c>
      <c r="B133" s="629"/>
      <c r="C133" s="629"/>
      <c r="D133" s="629"/>
      <c r="E133" s="476"/>
      <c r="F133" s="455">
        <f>F122+F132</f>
        <v>353</v>
      </c>
      <c r="G133" s="455">
        <f>G122+G132</f>
        <v>259</v>
      </c>
      <c r="H133" s="455">
        <f>H122+H132</f>
        <v>94</v>
      </c>
      <c r="I133" s="456">
        <f>I122+I132</f>
        <v>0.11917623227548954</v>
      </c>
      <c r="J133" s="457"/>
      <c r="K133" s="455">
        <f t="shared" ref="K133:U133" si="41">K122+K132</f>
        <v>206</v>
      </c>
      <c r="L133" s="455">
        <f t="shared" si="41"/>
        <v>147</v>
      </c>
      <c r="M133" s="455">
        <f t="shared" si="41"/>
        <v>158</v>
      </c>
      <c r="N133" s="455">
        <f t="shared" si="41"/>
        <v>171</v>
      </c>
      <c r="O133" s="455">
        <f t="shared" si="41"/>
        <v>1</v>
      </c>
      <c r="P133" s="455">
        <f t="shared" si="41"/>
        <v>10</v>
      </c>
      <c r="Q133" s="455">
        <f t="shared" si="41"/>
        <v>3</v>
      </c>
      <c r="R133" s="455">
        <f t="shared" si="41"/>
        <v>8</v>
      </c>
      <c r="S133" s="455">
        <f t="shared" si="41"/>
        <v>0</v>
      </c>
      <c r="T133" s="455">
        <f t="shared" si="41"/>
        <v>0</v>
      </c>
      <c r="U133" s="455">
        <f t="shared" si="41"/>
        <v>2</v>
      </c>
    </row>
    <row r="134" spans="1:21" ht="3" customHeight="1" x14ac:dyDescent="0.25">
      <c r="A134" s="458"/>
      <c r="B134" s="458"/>
      <c r="C134" s="458"/>
      <c r="D134" s="458"/>
      <c r="E134" s="458"/>
      <c r="F134" s="458"/>
      <c r="G134" s="458"/>
      <c r="H134" s="458"/>
      <c r="I134" s="458"/>
      <c r="J134" s="458"/>
      <c r="K134" s="458"/>
      <c r="L134" s="458"/>
      <c r="M134" s="458"/>
      <c r="N134" s="458"/>
      <c r="O134" s="458"/>
      <c r="P134" s="458"/>
      <c r="Q134" s="458"/>
      <c r="R134" s="458"/>
      <c r="S134" s="458"/>
      <c r="T134" s="458"/>
      <c r="U134" s="458"/>
    </row>
    <row r="135" spans="1:21" x14ac:dyDescent="0.2">
      <c r="A135" s="218" t="s">
        <v>1435</v>
      </c>
      <c r="B135" s="218" t="s">
        <v>324</v>
      </c>
      <c r="C135" s="449" t="s">
        <v>68</v>
      </c>
      <c r="D135" s="450" t="s">
        <v>293</v>
      </c>
      <c r="E135" s="450" t="s">
        <v>439</v>
      </c>
      <c r="F135" s="451">
        <f t="shared" ref="F135:F141" si="42">G135+H135</f>
        <v>50</v>
      </c>
      <c r="G135" s="451">
        <v>17</v>
      </c>
      <c r="H135" s="451">
        <v>33</v>
      </c>
      <c r="I135" s="452">
        <f t="shared" ref="I135:I143" si="43">F135/$F$149</f>
        <v>1.6880486158001352E-2</v>
      </c>
      <c r="J135" s="452">
        <f t="shared" ref="J135:J143" si="44">F135/$F$147</f>
        <v>1.8733608092918696E-2</v>
      </c>
      <c r="K135" s="451">
        <v>34</v>
      </c>
      <c r="L135" s="451">
        <v>16</v>
      </c>
      <c r="M135" s="451">
        <v>26</v>
      </c>
      <c r="N135" s="451">
        <v>21</v>
      </c>
      <c r="O135" s="451">
        <v>0</v>
      </c>
      <c r="P135" s="451">
        <v>2</v>
      </c>
      <c r="Q135" s="451">
        <v>0</v>
      </c>
      <c r="R135" s="451">
        <v>0</v>
      </c>
      <c r="S135" s="451">
        <v>0</v>
      </c>
      <c r="T135" s="451">
        <v>1</v>
      </c>
      <c r="U135" s="451">
        <v>0</v>
      </c>
    </row>
    <row r="136" spans="1:21" x14ac:dyDescent="0.2">
      <c r="A136" s="218" t="s">
        <v>1435</v>
      </c>
      <c r="B136" s="218" t="s">
        <v>324</v>
      </c>
      <c r="C136" s="449" t="s">
        <v>68</v>
      </c>
      <c r="D136" s="450" t="s">
        <v>293</v>
      </c>
      <c r="E136" s="450" t="s">
        <v>440</v>
      </c>
      <c r="F136" s="451">
        <f t="shared" si="42"/>
        <v>33</v>
      </c>
      <c r="G136" s="451">
        <v>26</v>
      </c>
      <c r="H136" s="451">
        <v>7</v>
      </c>
      <c r="I136" s="452">
        <f t="shared" si="43"/>
        <v>1.1141120864280891E-2</v>
      </c>
      <c r="J136" s="452">
        <f t="shared" si="44"/>
        <v>1.2364181341326339E-2</v>
      </c>
      <c r="K136" s="451">
        <v>21</v>
      </c>
      <c r="L136" s="451">
        <v>12</v>
      </c>
      <c r="M136" s="451">
        <v>17</v>
      </c>
      <c r="N136" s="451">
        <v>14</v>
      </c>
      <c r="O136" s="451">
        <v>0</v>
      </c>
      <c r="P136" s="451">
        <v>1</v>
      </c>
      <c r="Q136" s="451">
        <v>0</v>
      </c>
      <c r="R136" s="451">
        <v>1</v>
      </c>
      <c r="S136" s="451">
        <v>0</v>
      </c>
      <c r="T136" s="451">
        <v>0</v>
      </c>
      <c r="U136" s="451">
        <v>0</v>
      </c>
    </row>
    <row r="137" spans="1:21" x14ac:dyDescent="0.2">
      <c r="A137" s="218" t="s">
        <v>1435</v>
      </c>
      <c r="B137" s="218" t="s">
        <v>324</v>
      </c>
      <c r="C137" s="449" t="s">
        <v>68</v>
      </c>
      <c r="D137" s="450" t="s">
        <v>293</v>
      </c>
      <c r="E137" s="450" t="s">
        <v>438</v>
      </c>
      <c r="F137" s="451">
        <f t="shared" si="42"/>
        <v>50</v>
      </c>
      <c r="G137" s="451">
        <v>21</v>
      </c>
      <c r="H137" s="451">
        <v>29</v>
      </c>
      <c r="I137" s="452">
        <f t="shared" si="43"/>
        <v>1.6880486158001352E-2</v>
      </c>
      <c r="J137" s="452">
        <f t="shared" si="44"/>
        <v>1.8733608092918696E-2</v>
      </c>
      <c r="K137" s="451">
        <v>44</v>
      </c>
      <c r="L137" s="451">
        <v>6</v>
      </c>
      <c r="M137" s="451">
        <v>18</v>
      </c>
      <c r="N137" s="451">
        <v>30</v>
      </c>
      <c r="O137" s="451">
        <v>0</v>
      </c>
      <c r="P137" s="451">
        <v>1</v>
      </c>
      <c r="Q137" s="451">
        <v>0</v>
      </c>
      <c r="R137" s="451">
        <v>0</v>
      </c>
      <c r="S137" s="451">
        <v>0</v>
      </c>
      <c r="T137" s="451">
        <v>0</v>
      </c>
      <c r="U137" s="451">
        <v>1</v>
      </c>
    </row>
    <row r="138" spans="1:21" x14ac:dyDescent="0.2">
      <c r="A138" s="218" t="s">
        <v>1435</v>
      </c>
      <c r="B138" s="218" t="s">
        <v>324</v>
      </c>
      <c r="C138" s="449" t="s">
        <v>68</v>
      </c>
      <c r="D138" s="450" t="s">
        <v>403</v>
      </c>
      <c r="E138" s="450" t="s">
        <v>407</v>
      </c>
      <c r="F138" s="451">
        <f t="shared" si="42"/>
        <v>55</v>
      </c>
      <c r="G138" s="486">
        <v>44</v>
      </c>
      <c r="H138" s="451">
        <v>11</v>
      </c>
      <c r="I138" s="452">
        <f t="shared" si="43"/>
        <v>1.8568534773801486E-2</v>
      </c>
      <c r="J138" s="452">
        <f t="shared" si="44"/>
        <v>2.0606968902210566E-2</v>
      </c>
      <c r="K138" s="486">
        <v>51</v>
      </c>
      <c r="L138" s="486">
        <v>4</v>
      </c>
      <c r="M138" s="486">
        <v>7</v>
      </c>
      <c r="N138" s="486">
        <v>46</v>
      </c>
      <c r="O138" s="486">
        <v>0</v>
      </c>
      <c r="P138" s="486">
        <v>1</v>
      </c>
      <c r="Q138" s="486">
        <v>0</v>
      </c>
      <c r="R138" s="486">
        <v>1</v>
      </c>
      <c r="S138" s="451">
        <v>0</v>
      </c>
      <c r="T138" s="451">
        <v>0</v>
      </c>
      <c r="U138" s="451">
        <v>0</v>
      </c>
    </row>
    <row r="139" spans="1:21" x14ac:dyDescent="0.2">
      <c r="A139" s="218" t="s">
        <v>1435</v>
      </c>
      <c r="B139" s="218" t="s">
        <v>324</v>
      </c>
      <c r="C139" s="449" t="s">
        <v>68</v>
      </c>
      <c r="D139" s="450" t="s">
        <v>404</v>
      </c>
      <c r="F139" s="468">
        <f t="shared" si="42"/>
        <v>238</v>
      </c>
      <c r="G139" s="469">
        <v>176</v>
      </c>
      <c r="H139" s="487">
        <v>62</v>
      </c>
      <c r="I139" s="452">
        <f t="shared" si="43"/>
        <v>8.0351114112086425E-2</v>
      </c>
      <c r="J139" s="488">
        <f t="shared" si="44"/>
        <v>8.9171974522292988E-2</v>
      </c>
      <c r="K139" s="469">
        <v>152</v>
      </c>
      <c r="L139" s="469">
        <v>86</v>
      </c>
      <c r="M139" s="469">
        <v>49</v>
      </c>
      <c r="N139" s="469">
        <v>174</v>
      </c>
      <c r="O139" s="469">
        <v>2</v>
      </c>
      <c r="P139" s="469">
        <v>3</v>
      </c>
      <c r="Q139" s="469">
        <v>1</v>
      </c>
      <c r="R139" s="469">
        <v>4</v>
      </c>
      <c r="S139" s="451">
        <v>0</v>
      </c>
      <c r="T139" s="469">
        <v>5</v>
      </c>
      <c r="U139" s="469">
        <v>0</v>
      </c>
    </row>
    <row r="140" spans="1:21" x14ac:dyDescent="0.2">
      <c r="A140" s="218" t="s">
        <v>1435</v>
      </c>
      <c r="B140" s="218" t="s">
        <v>324</v>
      </c>
      <c r="C140" s="449" t="s">
        <v>68</v>
      </c>
      <c r="D140" s="450" t="s">
        <v>382</v>
      </c>
      <c r="E140" s="450"/>
      <c r="F140" s="451">
        <f t="shared" si="42"/>
        <v>21</v>
      </c>
      <c r="G140" s="451">
        <v>19</v>
      </c>
      <c r="H140" s="451">
        <v>2</v>
      </c>
      <c r="I140" s="452">
        <f t="shared" si="43"/>
        <v>7.0898041863605675E-3</v>
      </c>
      <c r="J140" s="452">
        <f t="shared" si="44"/>
        <v>7.8681153990258525E-3</v>
      </c>
      <c r="K140" s="451">
        <v>18</v>
      </c>
      <c r="L140" s="451">
        <v>3</v>
      </c>
      <c r="M140" s="480">
        <v>14</v>
      </c>
      <c r="N140" s="480">
        <v>6</v>
      </c>
      <c r="O140" s="480">
        <v>0</v>
      </c>
      <c r="P140" s="486">
        <v>0</v>
      </c>
      <c r="Q140" s="486">
        <v>0</v>
      </c>
      <c r="R140" s="486">
        <v>1</v>
      </c>
      <c r="S140" s="451">
        <v>0</v>
      </c>
      <c r="T140" s="451">
        <v>0</v>
      </c>
      <c r="U140" s="451">
        <v>0</v>
      </c>
    </row>
    <row r="141" spans="1:21" x14ac:dyDescent="0.2">
      <c r="A141" s="218" t="s">
        <v>1435</v>
      </c>
      <c r="B141" s="218" t="s">
        <v>324</v>
      </c>
      <c r="C141" s="449" t="s">
        <v>68</v>
      </c>
      <c r="D141" s="450" t="s">
        <v>405</v>
      </c>
      <c r="E141" s="450" t="s">
        <v>407</v>
      </c>
      <c r="F141" s="451">
        <f t="shared" si="42"/>
        <v>50</v>
      </c>
      <c r="G141" s="451">
        <v>38</v>
      </c>
      <c r="H141" s="451">
        <v>12</v>
      </c>
      <c r="I141" s="452">
        <f t="shared" si="43"/>
        <v>1.6880486158001352E-2</v>
      </c>
      <c r="J141" s="452">
        <f t="shared" si="44"/>
        <v>1.8733608092918696E-2</v>
      </c>
      <c r="K141" s="451">
        <v>40</v>
      </c>
      <c r="L141" s="451">
        <v>10</v>
      </c>
      <c r="M141" s="451">
        <v>34</v>
      </c>
      <c r="N141" s="451">
        <v>14</v>
      </c>
      <c r="O141" s="451">
        <v>0</v>
      </c>
      <c r="P141" s="486">
        <v>0</v>
      </c>
      <c r="Q141" s="486">
        <v>0</v>
      </c>
      <c r="R141" s="486">
        <v>2</v>
      </c>
      <c r="S141" s="451">
        <v>0</v>
      </c>
      <c r="T141" s="451">
        <v>0</v>
      </c>
      <c r="U141" s="451">
        <v>0</v>
      </c>
    </row>
    <row r="142" spans="1:21" hidden="1" x14ac:dyDescent="0.2">
      <c r="A142" s="218"/>
      <c r="B142" s="218"/>
      <c r="C142" s="449"/>
      <c r="D142" s="450"/>
      <c r="E142" s="450"/>
      <c r="F142" s="451"/>
      <c r="G142" s="451"/>
      <c r="H142" s="451"/>
      <c r="I142" s="452"/>
      <c r="J142" s="452"/>
      <c r="K142" s="451"/>
      <c r="L142" s="451"/>
      <c r="M142" s="451"/>
      <c r="N142" s="451"/>
      <c r="O142" s="451"/>
      <c r="P142" s="486"/>
      <c r="Q142" s="486"/>
      <c r="R142" s="486"/>
      <c r="S142" s="451"/>
      <c r="T142" s="451"/>
      <c r="U142" s="451"/>
    </row>
    <row r="143" spans="1:21" hidden="1" x14ac:dyDescent="0.2">
      <c r="A143" s="218"/>
      <c r="B143" s="218" t="s">
        <v>324</v>
      </c>
      <c r="C143" s="449" t="s">
        <v>68</v>
      </c>
      <c r="D143" s="450"/>
      <c r="E143" s="450"/>
      <c r="F143" s="451"/>
      <c r="G143" s="451"/>
      <c r="H143" s="451"/>
      <c r="I143" s="452">
        <f t="shared" si="43"/>
        <v>0</v>
      </c>
      <c r="J143" s="452">
        <f t="shared" si="44"/>
        <v>0</v>
      </c>
      <c r="K143" s="451"/>
      <c r="L143" s="451"/>
      <c r="M143" s="451"/>
      <c r="N143" s="451"/>
      <c r="O143" s="451"/>
      <c r="P143" s="451"/>
      <c r="Q143" s="451"/>
      <c r="R143" s="451"/>
      <c r="S143" s="451"/>
      <c r="T143" s="451"/>
      <c r="U143" s="451"/>
    </row>
    <row r="144" spans="1:21" x14ac:dyDescent="0.2">
      <c r="A144" s="630" t="s">
        <v>332</v>
      </c>
      <c r="B144" s="631"/>
      <c r="C144" s="631"/>
      <c r="D144" s="631"/>
      <c r="E144" s="475"/>
      <c r="F144" s="453">
        <f t="shared" ref="F144:U144" si="45">SUM(F135:F143)</f>
        <v>497</v>
      </c>
      <c r="G144" s="453">
        <f t="shared" si="45"/>
        <v>341</v>
      </c>
      <c r="H144" s="453">
        <f t="shared" si="45"/>
        <v>156</v>
      </c>
      <c r="I144" s="454">
        <f t="shared" si="45"/>
        <v>0.16779203241053345</v>
      </c>
      <c r="J144" s="454">
        <f t="shared" si="45"/>
        <v>0.1862120644436118</v>
      </c>
      <c r="K144" s="453">
        <f t="shared" si="45"/>
        <v>360</v>
      </c>
      <c r="L144" s="453">
        <f t="shared" si="45"/>
        <v>137</v>
      </c>
      <c r="M144" s="453">
        <f t="shared" si="45"/>
        <v>165</v>
      </c>
      <c r="N144" s="453">
        <f t="shared" si="45"/>
        <v>305</v>
      </c>
      <c r="O144" s="453">
        <f t="shared" si="45"/>
        <v>2</v>
      </c>
      <c r="P144" s="453">
        <f t="shared" si="45"/>
        <v>8</v>
      </c>
      <c r="Q144" s="453">
        <f t="shared" si="45"/>
        <v>1</v>
      </c>
      <c r="R144" s="453">
        <f t="shared" si="45"/>
        <v>9</v>
      </c>
      <c r="S144" s="453">
        <f t="shared" si="45"/>
        <v>0</v>
      </c>
      <c r="T144" s="453">
        <f t="shared" si="45"/>
        <v>6</v>
      </c>
      <c r="U144" s="453">
        <f t="shared" si="45"/>
        <v>1</v>
      </c>
    </row>
    <row r="145" spans="1:21" x14ac:dyDescent="0.2">
      <c r="A145" s="628" t="s">
        <v>331</v>
      </c>
      <c r="B145" s="629"/>
      <c r="C145" s="629"/>
      <c r="D145" s="629"/>
      <c r="E145" s="476"/>
      <c r="F145" s="455">
        <f>F144</f>
        <v>497</v>
      </c>
      <c r="G145" s="455">
        <f t="shared" ref="G145:L145" si="46">G144</f>
        <v>341</v>
      </c>
      <c r="H145" s="455">
        <f t="shared" si="46"/>
        <v>156</v>
      </c>
      <c r="I145" s="456">
        <f>I144</f>
        <v>0.16779203241053345</v>
      </c>
      <c r="J145" s="457"/>
      <c r="K145" s="455">
        <f t="shared" si="46"/>
        <v>360</v>
      </c>
      <c r="L145" s="455">
        <f t="shared" si="46"/>
        <v>137</v>
      </c>
      <c r="M145" s="455">
        <f t="shared" ref="M145:U145" si="47">M144</f>
        <v>165</v>
      </c>
      <c r="N145" s="455">
        <f t="shared" si="47"/>
        <v>305</v>
      </c>
      <c r="O145" s="455">
        <f t="shared" si="47"/>
        <v>2</v>
      </c>
      <c r="P145" s="455">
        <f t="shared" si="47"/>
        <v>8</v>
      </c>
      <c r="Q145" s="455">
        <f t="shared" si="47"/>
        <v>1</v>
      </c>
      <c r="R145" s="455">
        <f t="shared" si="47"/>
        <v>9</v>
      </c>
      <c r="S145" s="455">
        <f t="shared" si="47"/>
        <v>0</v>
      </c>
      <c r="T145" s="455">
        <f t="shared" si="47"/>
        <v>6</v>
      </c>
      <c r="U145" s="455">
        <f t="shared" si="47"/>
        <v>1</v>
      </c>
    </row>
    <row r="146" spans="1:21" ht="3" customHeight="1" x14ac:dyDescent="0.25">
      <c r="A146" s="458"/>
      <c r="B146" s="458"/>
      <c r="C146" s="458"/>
      <c r="D146" s="458"/>
      <c r="E146" s="458"/>
      <c r="F146" s="458"/>
      <c r="G146" s="458"/>
      <c r="H146" s="458"/>
      <c r="I146" s="458"/>
      <c r="J146" s="458"/>
      <c r="K146" s="458"/>
      <c r="L146" s="458"/>
      <c r="M146" s="458"/>
      <c r="N146" s="458"/>
      <c r="O146" s="458"/>
      <c r="P146" s="458"/>
      <c r="Q146" s="458"/>
      <c r="R146" s="458"/>
      <c r="S146" s="458"/>
      <c r="T146" s="458"/>
      <c r="U146" s="458"/>
    </row>
    <row r="147" spans="1:21" x14ac:dyDescent="0.2">
      <c r="A147" s="632" t="s">
        <v>237</v>
      </c>
      <c r="B147" s="633"/>
      <c r="C147" s="633"/>
      <c r="D147" s="633"/>
      <c r="E147" s="489"/>
      <c r="F147" s="462">
        <f>F35+F66+F78+F95+F104+F144+F122</f>
        <v>2669</v>
      </c>
      <c r="G147" s="462">
        <f>G35+G66+G78+G95+G104+G144+G122</f>
        <v>1535</v>
      </c>
      <c r="H147" s="462">
        <f>H35+H66+H78+H95+H104+H144+H122</f>
        <v>1134</v>
      </c>
      <c r="I147" s="463">
        <f>F147/F149</f>
        <v>0.90108035111411211</v>
      </c>
      <c r="J147" s="462"/>
      <c r="K147" s="462">
        <f t="shared" ref="K147:U147" si="48">K35+K66+K78+K95+K104+K144+K122</f>
        <v>2037</v>
      </c>
      <c r="L147" s="462">
        <f t="shared" si="48"/>
        <v>632</v>
      </c>
      <c r="M147" s="462">
        <f t="shared" si="48"/>
        <v>1160</v>
      </c>
      <c r="N147" s="462">
        <f t="shared" si="48"/>
        <v>1327</v>
      </c>
      <c r="O147" s="462">
        <f t="shared" si="48"/>
        <v>16</v>
      </c>
      <c r="P147" s="462">
        <f t="shared" si="48"/>
        <v>56</v>
      </c>
      <c r="Q147" s="462">
        <f t="shared" si="48"/>
        <v>9</v>
      </c>
      <c r="R147" s="462">
        <f t="shared" si="48"/>
        <v>72</v>
      </c>
      <c r="S147" s="462">
        <f t="shared" si="48"/>
        <v>1</v>
      </c>
      <c r="T147" s="462">
        <f t="shared" si="48"/>
        <v>23</v>
      </c>
      <c r="U147" s="462">
        <f t="shared" si="48"/>
        <v>5</v>
      </c>
    </row>
    <row r="148" spans="1:21" x14ac:dyDescent="0.2">
      <c r="A148" s="632" t="s">
        <v>238</v>
      </c>
      <c r="B148" s="633"/>
      <c r="C148" s="633"/>
      <c r="D148" s="633"/>
      <c r="E148" s="489"/>
      <c r="F148" s="462">
        <f>F42+F71+F99+F132</f>
        <v>293</v>
      </c>
      <c r="G148" s="462">
        <f>G42+G71+G99+G132</f>
        <v>192</v>
      </c>
      <c r="H148" s="462">
        <f>H42+H71+H99+H132</f>
        <v>101</v>
      </c>
      <c r="I148" s="463">
        <f>F148/F149</f>
        <v>9.8919648885887917E-2</v>
      </c>
      <c r="J148" s="462"/>
      <c r="K148" s="462">
        <f t="shared" ref="K148:U148" si="49">K42+K71+K99+K132</f>
        <v>99</v>
      </c>
      <c r="L148" s="462">
        <f t="shared" si="49"/>
        <v>194</v>
      </c>
      <c r="M148" s="462">
        <f t="shared" si="49"/>
        <v>160</v>
      </c>
      <c r="N148" s="462">
        <f t="shared" si="49"/>
        <v>89</v>
      </c>
      <c r="O148" s="462">
        <f t="shared" si="49"/>
        <v>5</v>
      </c>
      <c r="P148" s="462">
        <f t="shared" si="49"/>
        <v>30</v>
      </c>
      <c r="Q148" s="462">
        <f t="shared" si="49"/>
        <v>2</v>
      </c>
      <c r="R148" s="462">
        <f t="shared" si="49"/>
        <v>3</v>
      </c>
      <c r="S148" s="462">
        <f t="shared" si="49"/>
        <v>0</v>
      </c>
      <c r="T148" s="462">
        <f t="shared" si="49"/>
        <v>2</v>
      </c>
      <c r="U148" s="462">
        <f t="shared" si="49"/>
        <v>2</v>
      </c>
    </row>
    <row r="149" spans="1:21" x14ac:dyDescent="0.2">
      <c r="A149" s="634" t="s">
        <v>239</v>
      </c>
      <c r="B149" s="635"/>
      <c r="C149" s="635"/>
      <c r="D149" s="635"/>
      <c r="E149" s="490"/>
      <c r="F149" s="464">
        <f>F43+F72+F79+F100+F105+F145+F133</f>
        <v>2962</v>
      </c>
      <c r="G149" s="464">
        <f>G43+G72+G79+G100+G105+G145+G133</f>
        <v>1727</v>
      </c>
      <c r="H149" s="464">
        <f>H43+H72+H79+H100+H105+H145+H133</f>
        <v>1235</v>
      </c>
      <c r="I149" s="465">
        <f>I147+I148</f>
        <v>1</v>
      </c>
      <c r="J149" s="464"/>
      <c r="K149" s="464">
        <f t="shared" ref="K149:U149" si="50">K43+K72+K79+K100+K105+K145+K133</f>
        <v>2136</v>
      </c>
      <c r="L149" s="464">
        <f t="shared" si="50"/>
        <v>826</v>
      </c>
      <c r="M149" s="464">
        <f t="shared" si="50"/>
        <v>1320</v>
      </c>
      <c r="N149" s="464">
        <f t="shared" si="50"/>
        <v>1416</v>
      </c>
      <c r="O149" s="464">
        <f t="shared" si="50"/>
        <v>21</v>
      </c>
      <c r="P149" s="464">
        <f t="shared" si="50"/>
        <v>86</v>
      </c>
      <c r="Q149" s="464">
        <f t="shared" si="50"/>
        <v>11</v>
      </c>
      <c r="R149" s="464">
        <f t="shared" si="50"/>
        <v>75</v>
      </c>
      <c r="S149" s="464">
        <f t="shared" si="50"/>
        <v>1</v>
      </c>
      <c r="T149" s="464">
        <f t="shared" si="50"/>
        <v>25</v>
      </c>
      <c r="U149" s="464">
        <f t="shared" si="50"/>
        <v>7</v>
      </c>
    </row>
    <row r="150" spans="1:21" s="31" customFormat="1" x14ac:dyDescent="0.2">
      <c r="G150" s="311">
        <f>G149/$F$149</f>
        <v>0.58305199189736667</v>
      </c>
      <c r="H150" s="311">
        <f>H149/$F$149</f>
        <v>0.41694800810263338</v>
      </c>
      <c r="K150" s="312">
        <f>K149/$F$149</f>
        <v>0.72113436866981773</v>
      </c>
      <c r="L150" s="312">
        <f>L149/$F$149</f>
        <v>0.27886563133018233</v>
      </c>
      <c r="M150" s="312">
        <f>M149/$F$149</f>
        <v>0.44564483457123566</v>
      </c>
      <c r="N150" s="312">
        <f>N149/$F$149</f>
        <v>0.47805536799459825</v>
      </c>
      <c r="O150" s="312">
        <f t="shared" ref="O150:U150" si="51">O149/$F$149</f>
        <v>7.0898041863605675E-3</v>
      </c>
      <c r="P150" s="312">
        <f t="shared" si="51"/>
        <v>2.9034436191762322E-2</v>
      </c>
      <c r="Q150" s="312">
        <f t="shared" si="51"/>
        <v>3.7137069547602971E-3</v>
      </c>
      <c r="R150" s="312">
        <f t="shared" si="51"/>
        <v>2.5320729237002026E-2</v>
      </c>
      <c r="S150" s="312">
        <f t="shared" si="51"/>
        <v>3.3760972316002703E-4</v>
      </c>
      <c r="T150" s="312">
        <f t="shared" si="51"/>
        <v>8.4402430790006758E-3</v>
      </c>
      <c r="U150" s="312">
        <f t="shared" si="51"/>
        <v>2.3632680621201892E-3</v>
      </c>
    </row>
    <row r="151" spans="1:21" x14ac:dyDescent="0.2">
      <c r="M151" s="466"/>
    </row>
  </sheetData>
  <mergeCells count="32">
    <mergeCell ref="E6:E7"/>
    <mergeCell ref="F6:F7"/>
    <mergeCell ref="A35:D35"/>
    <mergeCell ref="A6:A7"/>
    <mergeCell ref="B6:B7"/>
    <mergeCell ref="C6:C7"/>
    <mergeCell ref="D6:D7"/>
    <mergeCell ref="G6:H6"/>
    <mergeCell ref="I6:I7"/>
    <mergeCell ref="J6:J7"/>
    <mergeCell ref="K6:L6"/>
    <mergeCell ref="M6:U6"/>
    <mergeCell ref="A105:D105"/>
    <mergeCell ref="A42:D42"/>
    <mergeCell ref="A43:D43"/>
    <mergeCell ref="A66:D66"/>
    <mergeCell ref="A71:D71"/>
    <mergeCell ref="A72:D72"/>
    <mergeCell ref="A78:D78"/>
    <mergeCell ref="A79:D79"/>
    <mergeCell ref="A95:D95"/>
    <mergeCell ref="A99:D99"/>
    <mergeCell ref="A100:D100"/>
    <mergeCell ref="A104:D104"/>
    <mergeCell ref="A148:D148"/>
    <mergeCell ref="A149:D149"/>
    <mergeCell ref="A122:D122"/>
    <mergeCell ref="A132:D132"/>
    <mergeCell ref="A133:D133"/>
    <mergeCell ref="A144:D144"/>
    <mergeCell ref="A145:D145"/>
    <mergeCell ref="A147:D147"/>
  </mergeCells>
  <hyperlinks>
    <hyperlink ref="Q1" location="'Table of Contents'!A1" display="Back to Table Of Contents" xr:uid="{D1209C11-FDF0-44EB-B3CB-B666D38F07D8}"/>
  </hyperlinks>
  <pageMargins left="0.5" right="0.5" top="0.5" bottom="0.5" header="0.5" footer="0.25"/>
  <pageSetup scale="78" orientation="landscape" r:id="rId1"/>
  <headerFooter alignWithMargins="0">
    <oddHeader>&amp;ROctober 2022</oddHeader>
    <oddFooter>&amp;CPage &amp;P of &amp;N&amp;R&amp;8&amp;F</oddFooter>
  </headerFooter>
  <rowBreaks count="3" manualBreakCount="3">
    <brk id="35" max="16383" man="1"/>
    <brk id="73" max="16383" man="1"/>
    <brk id="107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6"/>
  </sheetPr>
  <dimension ref="A1:O98"/>
  <sheetViews>
    <sheetView topLeftCell="A30" zoomScale="90" zoomScaleNormal="90" workbookViewId="0">
      <selection activeCell="A114" sqref="A114:XFD114"/>
    </sheetView>
  </sheetViews>
  <sheetFormatPr defaultColWidth="8.85546875" defaultRowHeight="12.75" x14ac:dyDescent="0.2"/>
  <cols>
    <col min="1" max="1" width="8.5703125" style="3" customWidth="1"/>
    <col min="2" max="2" width="32.7109375" style="3" customWidth="1"/>
    <col min="3" max="3" width="10.7109375" style="4" customWidth="1"/>
    <col min="4" max="4" width="11.140625" style="6" customWidth="1"/>
    <col min="5" max="5" width="8.140625" style="4" customWidth="1"/>
    <col min="6" max="6" width="8.7109375" style="4" customWidth="1"/>
    <col min="7" max="7" width="9.5703125" style="3" customWidth="1"/>
    <col min="8" max="8" width="9.7109375" style="3" customWidth="1"/>
    <col min="9" max="9" width="14.7109375" style="3" customWidth="1"/>
    <col min="10" max="10" width="12" style="3" customWidth="1"/>
    <col min="11" max="11" width="5.85546875" style="3" customWidth="1"/>
    <col min="12" max="16384" width="8.85546875" style="3"/>
  </cols>
  <sheetData>
    <row r="1" spans="1:11" ht="18" x14ac:dyDescent="0.25">
      <c r="B1" s="14"/>
      <c r="F1" s="5" t="s">
        <v>98</v>
      </c>
    </row>
    <row r="2" spans="1:11" ht="15" x14ac:dyDescent="0.2">
      <c r="B2" s="11"/>
    </row>
    <row r="3" spans="1:11" ht="15.75" customHeight="1" x14ac:dyDescent="0.2">
      <c r="B3" s="12"/>
    </row>
    <row r="4" spans="1:11" x14ac:dyDescent="0.2">
      <c r="B4" s="7"/>
    </row>
    <row r="5" spans="1:11" ht="22.9" customHeight="1" x14ac:dyDescent="0.2">
      <c r="A5" s="663" t="s">
        <v>672</v>
      </c>
      <c r="B5" s="663"/>
      <c r="C5" s="663"/>
      <c r="D5" s="663"/>
      <c r="E5" s="663"/>
      <c r="F5" s="663"/>
      <c r="G5" s="663"/>
      <c r="H5" s="663"/>
      <c r="I5" s="663"/>
      <c r="J5" s="663"/>
    </row>
    <row r="6" spans="1:11" ht="18" customHeight="1" x14ac:dyDescent="0.2">
      <c r="A6" s="64"/>
      <c r="B6" s="64"/>
      <c r="C6" s="65"/>
      <c r="D6" s="68"/>
      <c r="E6" s="669" t="s">
        <v>71</v>
      </c>
      <c r="F6" s="668"/>
      <c r="G6" s="667" t="s">
        <v>86</v>
      </c>
      <c r="H6" s="668"/>
      <c r="I6" s="667" t="s">
        <v>124</v>
      </c>
      <c r="J6" s="668" t="s">
        <v>124</v>
      </c>
    </row>
    <row r="7" spans="1:11" ht="28.15" customHeight="1" x14ac:dyDescent="0.2">
      <c r="A7" s="66" t="s">
        <v>65</v>
      </c>
      <c r="B7" s="66" t="s">
        <v>6</v>
      </c>
      <c r="C7" s="66" t="s">
        <v>72</v>
      </c>
      <c r="D7" s="68" t="s">
        <v>69</v>
      </c>
      <c r="E7" s="67" t="s">
        <v>82</v>
      </c>
      <c r="F7" s="67" t="s">
        <v>81</v>
      </c>
      <c r="G7" s="67" t="s">
        <v>173</v>
      </c>
      <c r="H7" s="67" t="s">
        <v>174</v>
      </c>
      <c r="I7" s="211" t="s">
        <v>130</v>
      </c>
      <c r="J7" s="211" t="s">
        <v>3</v>
      </c>
      <c r="K7" s="29"/>
    </row>
    <row r="8" spans="1:11" x14ac:dyDescent="0.2">
      <c r="A8" s="215" t="s">
        <v>1442</v>
      </c>
      <c r="B8" s="310" t="s">
        <v>674</v>
      </c>
      <c r="C8" s="174">
        <f>E8+F8</f>
        <v>33</v>
      </c>
      <c r="D8" s="173">
        <f t="shared" ref="D8:D35" si="0">C8/$C$36</f>
        <v>1.1141120864280891E-2</v>
      </c>
      <c r="E8" s="215">
        <v>11</v>
      </c>
      <c r="F8" s="215">
        <v>22</v>
      </c>
      <c r="G8" s="215">
        <v>27</v>
      </c>
      <c r="H8" s="215">
        <v>6</v>
      </c>
      <c r="I8" s="215">
        <v>31</v>
      </c>
      <c r="J8" s="215">
        <v>2</v>
      </c>
      <c r="K8" s="29"/>
    </row>
    <row r="9" spans="1:11" x14ac:dyDescent="0.2">
      <c r="A9" s="215" t="s">
        <v>1442</v>
      </c>
      <c r="B9" s="310" t="s">
        <v>441</v>
      </c>
      <c r="C9" s="174">
        <f t="shared" ref="C9:C33" si="1">E9+F9</f>
        <v>1</v>
      </c>
      <c r="D9" s="173">
        <f t="shared" si="0"/>
        <v>3.3760972316002703E-4</v>
      </c>
      <c r="E9" s="215">
        <v>1</v>
      </c>
      <c r="F9" s="215">
        <v>0</v>
      </c>
      <c r="G9" s="215">
        <v>1</v>
      </c>
      <c r="H9" s="215">
        <v>0</v>
      </c>
      <c r="I9" s="215">
        <v>1</v>
      </c>
      <c r="J9" s="215">
        <v>0</v>
      </c>
      <c r="K9" s="29"/>
    </row>
    <row r="10" spans="1:11" x14ac:dyDescent="0.2">
      <c r="A10" s="215" t="s">
        <v>1442</v>
      </c>
      <c r="B10" s="310" t="s">
        <v>675</v>
      </c>
      <c r="C10" s="174">
        <f t="shared" si="1"/>
        <v>1</v>
      </c>
      <c r="D10" s="173">
        <f t="shared" si="0"/>
        <v>3.3760972316002703E-4</v>
      </c>
      <c r="E10" s="215">
        <v>0</v>
      </c>
      <c r="F10" s="215">
        <v>1</v>
      </c>
      <c r="G10" s="215">
        <v>1</v>
      </c>
      <c r="H10" s="215">
        <v>0</v>
      </c>
      <c r="I10" s="215">
        <v>1</v>
      </c>
      <c r="J10" s="215">
        <v>0</v>
      </c>
      <c r="K10" s="29"/>
    </row>
    <row r="11" spans="1:11" x14ac:dyDescent="0.2">
      <c r="A11" s="215" t="s">
        <v>1442</v>
      </c>
      <c r="B11" s="310" t="s">
        <v>442</v>
      </c>
      <c r="C11" s="174">
        <f t="shared" si="1"/>
        <v>1</v>
      </c>
      <c r="D11" s="173">
        <f t="shared" si="0"/>
        <v>3.3760972316002703E-4</v>
      </c>
      <c r="E11" s="215">
        <v>1</v>
      </c>
      <c r="F11" s="215">
        <v>0</v>
      </c>
      <c r="G11" s="215">
        <v>0</v>
      </c>
      <c r="H11" s="215">
        <v>1</v>
      </c>
      <c r="I11" s="215">
        <v>1</v>
      </c>
      <c r="J11" s="215">
        <v>0</v>
      </c>
      <c r="K11" s="29"/>
    </row>
    <row r="12" spans="1:11" x14ac:dyDescent="0.2">
      <c r="A12" s="215" t="s">
        <v>1442</v>
      </c>
      <c r="B12" s="310" t="s">
        <v>443</v>
      </c>
      <c r="C12" s="174">
        <f t="shared" si="1"/>
        <v>36</v>
      </c>
      <c r="D12" s="173">
        <f t="shared" si="0"/>
        <v>1.2153950033760972E-2</v>
      </c>
      <c r="E12" s="215">
        <v>16</v>
      </c>
      <c r="F12" s="215">
        <v>20</v>
      </c>
      <c r="G12" s="215">
        <v>20</v>
      </c>
      <c r="H12" s="215">
        <v>16</v>
      </c>
      <c r="I12" s="215">
        <v>33</v>
      </c>
      <c r="J12" s="215">
        <v>3</v>
      </c>
      <c r="K12" s="29"/>
    </row>
    <row r="13" spans="1:11" x14ac:dyDescent="0.2">
      <c r="A13" s="215" t="s">
        <v>1442</v>
      </c>
      <c r="B13" s="310" t="s">
        <v>444</v>
      </c>
      <c r="C13" s="174">
        <f t="shared" si="1"/>
        <v>1242</v>
      </c>
      <c r="D13" s="173">
        <f t="shared" si="0"/>
        <v>0.41931127616475355</v>
      </c>
      <c r="E13" s="215">
        <v>537</v>
      </c>
      <c r="F13" s="215">
        <v>705</v>
      </c>
      <c r="G13" s="215">
        <v>916</v>
      </c>
      <c r="H13" s="215">
        <v>326</v>
      </c>
      <c r="I13" s="215">
        <v>1165</v>
      </c>
      <c r="J13" s="215">
        <v>77</v>
      </c>
      <c r="K13" s="29"/>
    </row>
    <row r="14" spans="1:11" x14ac:dyDescent="0.2">
      <c r="A14" s="215" t="s">
        <v>1442</v>
      </c>
      <c r="B14" s="310" t="s">
        <v>445</v>
      </c>
      <c r="C14" s="174">
        <f t="shared" si="1"/>
        <v>4</v>
      </c>
      <c r="D14" s="173">
        <f t="shared" si="0"/>
        <v>1.3504388926401081E-3</v>
      </c>
      <c r="E14" s="215">
        <v>3</v>
      </c>
      <c r="F14" s="215">
        <v>1</v>
      </c>
      <c r="G14" s="215">
        <v>4</v>
      </c>
      <c r="H14" s="215">
        <v>0</v>
      </c>
      <c r="I14" s="215">
        <v>4</v>
      </c>
      <c r="J14" s="215">
        <v>0</v>
      </c>
      <c r="K14" s="29"/>
    </row>
    <row r="15" spans="1:11" x14ac:dyDescent="0.2">
      <c r="A15" s="215" t="s">
        <v>1442</v>
      </c>
      <c r="B15" s="310" t="s">
        <v>446</v>
      </c>
      <c r="C15" s="174">
        <f t="shared" si="1"/>
        <v>30</v>
      </c>
      <c r="D15" s="173">
        <f t="shared" si="0"/>
        <v>1.012829169480081E-2</v>
      </c>
      <c r="E15" s="215">
        <v>11</v>
      </c>
      <c r="F15" s="215">
        <v>19</v>
      </c>
      <c r="G15" s="215">
        <v>14</v>
      </c>
      <c r="H15" s="215">
        <v>16</v>
      </c>
      <c r="I15" s="215">
        <v>27</v>
      </c>
      <c r="J15" s="215">
        <v>3</v>
      </c>
      <c r="K15" s="29"/>
    </row>
    <row r="16" spans="1:11" x14ac:dyDescent="0.2">
      <c r="A16" s="215" t="s">
        <v>1442</v>
      </c>
      <c r="B16" s="310" t="s">
        <v>447</v>
      </c>
      <c r="C16" s="174">
        <f t="shared" si="1"/>
        <v>68</v>
      </c>
      <c r="D16" s="173">
        <f t="shared" si="0"/>
        <v>2.2957461174881837E-2</v>
      </c>
      <c r="E16" s="215">
        <v>36</v>
      </c>
      <c r="F16" s="215">
        <v>32</v>
      </c>
      <c r="G16" s="215">
        <v>42</v>
      </c>
      <c r="H16" s="215">
        <v>26</v>
      </c>
      <c r="I16" s="215">
        <v>63</v>
      </c>
      <c r="J16" s="215">
        <v>5</v>
      </c>
      <c r="K16" s="29"/>
    </row>
    <row r="17" spans="1:11" x14ac:dyDescent="0.2">
      <c r="A17" s="215" t="s">
        <v>1442</v>
      </c>
      <c r="B17" s="310" t="s">
        <v>448</v>
      </c>
      <c r="C17" s="174">
        <f t="shared" ref="C17" si="2">E17+F17</f>
        <v>14</v>
      </c>
      <c r="D17" s="173">
        <f t="shared" si="0"/>
        <v>4.7265361242403783E-3</v>
      </c>
      <c r="E17" s="215">
        <v>5</v>
      </c>
      <c r="F17" s="215">
        <v>9</v>
      </c>
      <c r="G17" s="215">
        <v>9</v>
      </c>
      <c r="H17" s="215">
        <v>5</v>
      </c>
      <c r="I17" s="215">
        <v>14</v>
      </c>
      <c r="J17" s="215">
        <v>0</v>
      </c>
      <c r="K17" s="29"/>
    </row>
    <row r="18" spans="1:11" x14ac:dyDescent="0.2">
      <c r="A18" s="215" t="s">
        <v>1442</v>
      </c>
      <c r="B18" s="310" t="s">
        <v>449</v>
      </c>
      <c r="C18" s="174">
        <f t="shared" si="1"/>
        <v>4</v>
      </c>
      <c r="D18" s="173">
        <f t="shared" si="0"/>
        <v>1.3504388926401081E-3</v>
      </c>
      <c r="E18" s="215">
        <v>0</v>
      </c>
      <c r="F18" s="215">
        <v>4</v>
      </c>
      <c r="G18" s="215">
        <v>3</v>
      </c>
      <c r="H18" s="215">
        <v>1</v>
      </c>
      <c r="I18" s="215">
        <v>4</v>
      </c>
      <c r="J18" s="215">
        <v>0</v>
      </c>
      <c r="K18" s="29"/>
    </row>
    <row r="19" spans="1:11" x14ac:dyDescent="0.2">
      <c r="A19" s="215" t="s">
        <v>1442</v>
      </c>
      <c r="B19" s="310" t="s">
        <v>450</v>
      </c>
      <c r="C19" s="174">
        <f t="shared" ref="C19" si="3">E19+F19</f>
        <v>9</v>
      </c>
      <c r="D19" s="173">
        <f t="shared" si="0"/>
        <v>3.0384875084402429E-3</v>
      </c>
      <c r="E19" s="215">
        <v>3</v>
      </c>
      <c r="F19" s="215">
        <v>6</v>
      </c>
      <c r="G19" s="215">
        <v>8</v>
      </c>
      <c r="H19" s="215">
        <v>1</v>
      </c>
      <c r="I19" s="215">
        <v>8</v>
      </c>
      <c r="J19" s="215">
        <v>1</v>
      </c>
      <c r="K19" s="29"/>
    </row>
    <row r="20" spans="1:11" x14ac:dyDescent="0.2">
      <c r="A20" s="215" t="s">
        <v>1442</v>
      </c>
      <c r="B20" s="310" t="s">
        <v>676</v>
      </c>
      <c r="C20" s="174">
        <f t="shared" si="1"/>
        <v>11</v>
      </c>
      <c r="D20" s="173">
        <f t="shared" si="0"/>
        <v>3.7137069547602971E-3</v>
      </c>
      <c r="E20" s="215">
        <v>4</v>
      </c>
      <c r="F20" s="215">
        <v>7</v>
      </c>
      <c r="G20" s="215">
        <v>7</v>
      </c>
      <c r="H20" s="215">
        <v>4</v>
      </c>
      <c r="I20" s="215">
        <v>9</v>
      </c>
      <c r="J20" s="215">
        <v>2</v>
      </c>
      <c r="K20" s="29"/>
    </row>
    <row r="21" spans="1:11" x14ac:dyDescent="0.2">
      <c r="A21" s="215" t="s">
        <v>1442</v>
      </c>
      <c r="B21" s="310" t="s">
        <v>677</v>
      </c>
      <c r="C21" s="174">
        <f t="shared" si="1"/>
        <v>77</v>
      </c>
      <c r="D21" s="173">
        <f t="shared" si="0"/>
        <v>2.5995948683322081E-2</v>
      </c>
      <c r="E21" s="215">
        <v>33</v>
      </c>
      <c r="F21" s="215">
        <v>44</v>
      </c>
      <c r="G21" s="215">
        <v>55</v>
      </c>
      <c r="H21" s="215">
        <v>22</v>
      </c>
      <c r="I21" s="215">
        <v>69</v>
      </c>
      <c r="J21" s="215">
        <v>8</v>
      </c>
      <c r="K21" s="29"/>
    </row>
    <row r="22" spans="1:11" x14ac:dyDescent="0.2">
      <c r="A22" s="215" t="s">
        <v>1442</v>
      </c>
      <c r="B22" s="310" t="s">
        <v>452</v>
      </c>
      <c r="C22" s="174">
        <f t="shared" si="1"/>
        <v>876</v>
      </c>
      <c r="D22" s="173">
        <f t="shared" si="0"/>
        <v>0.29574611748818364</v>
      </c>
      <c r="E22" s="215">
        <v>335</v>
      </c>
      <c r="F22" s="215">
        <v>541</v>
      </c>
      <c r="G22" s="215">
        <v>617</v>
      </c>
      <c r="H22" s="215">
        <v>259</v>
      </c>
      <c r="I22" s="215">
        <v>764</v>
      </c>
      <c r="J22" s="215">
        <v>112</v>
      </c>
      <c r="K22" s="29"/>
    </row>
    <row r="23" spans="1:11" x14ac:dyDescent="0.2">
      <c r="A23" s="215" t="s">
        <v>1442</v>
      </c>
      <c r="B23" s="310" t="s">
        <v>300</v>
      </c>
      <c r="C23" s="174">
        <f t="shared" si="1"/>
        <v>20</v>
      </c>
      <c r="D23" s="173">
        <f t="shared" si="0"/>
        <v>6.75219446320054E-3</v>
      </c>
      <c r="E23" s="215">
        <v>9</v>
      </c>
      <c r="F23" s="215">
        <v>11</v>
      </c>
      <c r="G23" s="215">
        <v>13</v>
      </c>
      <c r="H23" s="215">
        <v>7</v>
      </c>
      <c r="I23" s="215">
        <v>15</v>
      </c>
      <c r="J23" s="215">
        <v>5</v>
      </c>
      <c r="K23" s="29"/>
    </row>
    <row r="24" spans="1:11" x14ac:dyDescent="0.2">
      <c r="A24" s="215" t="s">
        <v>1442</v>
      </c>
      <c r="B24" s="310" t="s">
        <v>678</v>
      </c>
      <c r="C24" s="174">
        <f t="shared" si="1"/>
        <v>3</v>
      </c>
      <c r="D24" s="173">
        <f t="shared" si="0"/>
        <v>1.012829169480081E-3</v>
      </c>
      <c r="E24" s="215">
        <v>2</v>
      </c>
      <c r="F24" s="215">
        <v>1</v>
      </c>
      <c r="G24" s="215">
        <v>3</v>
      </c>
      <c r="H24" s="215">
        <v>0</v>
      </c>
      <c r="I24" s="215">
        <v>3</v>
      </c>
      <c r="J24" s="215">
        <v>0</v>
      </c>
      <c r="K24" s="29"/>
    </row>
    <row r="25" spans="1:11" x14ac:dyDescent="0.2">
      <c r="A25" s="215" t="s">
        <v>1442</v>
      </c>
      <c r="B25" s="310" t="s">
        <v>453</v>
      </c>
      <c r="C25" s="174">
        <f t="shared" ref="C25" si="4">E25+F25</f>
        <v>79</v>
      </c>
      <c r="D25" s="173">
        <f t="shared" si="0"/>
        <v>2.6671168129642132E-2</v>
      </c>
      <c r="E25" s="215">
        <v>26</v>
      </c>
      <c r="F25" s="215">
        <v>53</v>
      </c>
      <c r="G25" s="215">
        <v>61</v>
      </c>
      <c r="H25" s="215">
        <v>18</v>
      </c>
      <c r="I25" s="215">
        <v>72</v>
      </c>
      <c r="J25" s="215">
        <v>7</v>
      </c>
      <c r="K25" s="29"/>
    </row>
    <row r="26" spans="1:11" x14ac:dyDescent="0.2">
      <c r="A26" s="215" t="s">
        <v>1442</v>
      </c>
      <c r="B26" s="310" t="s">
        <v>454</v>
      </c>
      <c r="C26" s="174">
        <f t="shared" si="1"/>
        <v>11</v>
      </c>
      <c r="D26" s="173">
        <f t="shared" si="0"/>
        <v>3.7137069547602971E-3</v>
      </c>
      <c r="E26" s="215">
        <v>3</v>
      </c>
      <c r="F26" s="215">
        <v>8</v>
      </c>
      <c r="G26" s="215">
        <v>7</v>
      </c>
      <c r="H26" s="215">
        <v>4</v>
      </c>
      <c r="I26" s="215">
        <v>10</v>
      </c>
      <c r="J26" s="215">
        <v>1</v>
      </c>
      <c r="K26" s="29"/>
    </row>
    <row r="27" spans="1:11" x14ac:dyDescent="0.2">
      <c r="A27" s="215" t="s">
        <v>1442</v>
      </c>
      <c r="B27" s="310" t="s">
        <v>455</v>
      </c>
      <c r="C27" s="174">
        <f t="shared" si="1"/>
        <v>11</v>
      </c>
      <c r="D27" s="173">
        <f t="shared" si="0"/>
        <v>3.7137069547602971E-3</v>
      </c>
      <c r="E27" s="215">
        <v>3</v>
      </c>
      <c r="F27" s="215">
        <v>8</v>
      </c>
      <c r="G27" s="215">
        <v>6</v>
      </c>
      <c r="H27" s="215">
        <v>5</v>
      </c>
      <c r="I27" s="215">
        <v>10</v>
      </c>
      <c r="J27" s="215">
        <v>1</v>
      </c>
      <c r="K27" s="29"/>
    </row>
    <row r="28" spans="1:11" x14ac:dyDescent="0.2">
      <c r="A28" s="215" t="s">
        <v>1442</v>
      </c>
      <c r="B28" s="310" t="s">
        <v>456</v>
      </c>
      <c r="C28" s="174">
        <f t="shared" si="1"/>
        <v>91</v>
      </c>
      <c r="D28" s="173">
        <f t="shared" si="0"/>
        <v>3.0722484807562459E-2</v>
      </c>
      <c r="E28" s="215">
        <v>34</v>
      </c>
      <c r="F28" s="215">
        <v>57</v>
      </c>
      <c r="G28" s="215">
        <v>75</v>
      </c>
      <c r="H28" s="215">
        <v>16</v>
      </c>
      <c r="I28" s="215">
        <v>83</v>
      </c>
      <c r="J28" s="215">
        <v>8</v>
      </c>
      <c r="K28" s="29"/>
    </row>
    <row r="29" spans="1:11" x14ac:dyDescent="0.2">
      <c r="A29" s="215" t="s">
        <v>1442</v>
      </c>
      <c r="B29" s="310" t="s">
        <v>457</v>
      </c>
      <c r="C29" s="174">
        <f t="shared" si="1"/>
        <v>69</v>
      </c>
      <c r="D29" s="173">
        <f t="shared" si="0"/>
        <v>2.3295070898041864E-2</v>
      </c>
      <c r="E29" s="215">
        <v>26</v>
      </c>
      <c r="F29" s="215">
        <v>43</v>
      </c>
      <c r="G29" s="215">
        <v>56</v>
      </c>
      <c r="H29" s="215">
        <v>13</v>
      </c>
      <c r="I29" s="215">
        <v>52</v>
      </c>
      <c r="J29" s="215">
        <v>17</v>
      </c>
      <c r="K29" s="29"/>
    </row>
    <row r="30" spans="1:11" x14ac:dyDescent="0.2">
      <c r="A30" s="215" t="s">
        <v>1442</v>
      </c>
      <c r="B30" s="310" t="s">
        <v>458</v>
      </c>
      <c r="C30" s="174">
        <f t="shared" si="1"/>
        <v>66</v>
      </c>
      <c r="D30" s="173">
        <f t="shared" si="0"/>
        <v>2.2282241728561782E-2</v>
      </c>
      <c r="E30" s="215">
        <v>34</v>
      </c>
      <c r="F30" s="215">
        <v>32</v>
      </c>
      <c r="G30" s="215">
        <v>50</v>
      </c>
      <c r="H30" s="215">
        <v>16</v>
      </c>
      <c r="I30" s="215">
        <v>63</v>
      </c>
      <c r="J30" s="215">
        <v>3</v>
      </c>
      <c r="K30" s="29"/>
    </row>
    <row r="31" spans="1:11" x14ac:dyDescent="0.2">
      <c r="A31" s="215" t="s">
        <v>1442</v>
      </c>
      <c r="B31" s="310" t="s">
        <v>679</v>
      </c>
      <c r="C31" s="174">
        <f t="shared" si="1"/>
        <v>7</v>
      </c>
      <c r="D31" s="173">
        <f t="shared" si="0"/>
        <v>2.3632680621201892E-3</v>
      </c>
      <c r="E31" s="215">
        <v>4</v>
      </c>
      <c r="F31" s="215">
        <v>3</v>
      </c>
      <c r="G31" s="215">
        <v>6</v>
      </c>
      <c r="H31" s="215">
        <v>1</v>
      </c>
      <c r="I31" s="215">
        <v>5</v>
      </c>
      <c r="J31" s="215">
        <v>2</v>
      </c>
      <c r="K31" s="29"/>
    </row>
    <row r="32" spans="1:11" x14ac:dyDescent="0.2">
      <c r="A32" s="215" t="s">
        <v>1442</v>
      </c>
      <c r="B32" s="310" t="s">
        <v>301</v>
      </c>
      <c r="C32" s="174">
        <f t="shared" ref="C32" si="5">E32+F32</f>
        <v>75</v>
      </c>
      <c r="D32" s="173">
        <f t="shared" si="0"/>
        <v>2.5320729237002026E-2</v>
      </c>
      <c r="E32" s="215">
        <v>42</v>
      </c>
      <c r="F32" s="215">
        <v>33</v>
      </c>
      <c r="G32" s="215">
        <v>57</v>
      </c>
      <c r="H32" s="215">
        <v>18</v>
      </c>
      <c r="I32" s="215">
        <v>72</v>
      </c>
      <c r="J32" s="215">
        <v>3</v>
      </c>
      <c r="K32" s="29"/>
    </row>
    <row r="33" spans="1:15" x14ac:dyDescent="0.2">
      <c r="A33" s="215" t="s">
        <v>1442</v>
      </c>
      <c r="B33" s="310" t="s">
        <v>459</v>
      </c>
      <c r="C33" s="174">
        <f t="shared" si="1"/>
        <v>36</v>
      </c>
      <c r="D33" s="173">
        <f t="shared" si="0"/>
        <v>1.2153950033760972E-2</v>
      </c>
      <c r="E33" s="215">
        <v>17</v>
      </c>
      <c r="F33" s="215">
        <v>19</v>
      </c>
      <c r="G33" s="215">
        <v>27</v>
      </c>
      <c r="H33" s="215">
        <v>9</v>
      </c>
      <c r="I33" s="215">
        <v>33</v>
      </c>
      <c r="J33" s="215">
        <v>3</v>
      </c>
      <c r="K33" s="29"/>
    </row>
    <row r="34" spans="1:15" x14ac:dyDescent="0.2">
      <c r="A34" s="215" t="s">
        <v>1442</v>
      </c>
      <c r="B34" s="310" t="s">
        <v>460</v>
      </c>
      <c r="C34" s="174">
        <f t="shared" ref="C34:C35" si="6">E34+F34</f>
        <v>1</v>
      </c>
      <c r="D34" s="173">
        <f t="shared" si="0"/>
        <v>3.3760972316002703E-4</v>
      </c>
      <c r="E34" s="215">
        <v>1</v>
      </c>
      <c r="F34" s="215">
        <v>0</v>
      </c>
      <c r="G34" s="215">
        <v>0</v>
      </c>
      <c r="H34" s="215">
        <v>1</v>
      </c>
      <c r="I34" s="215">
        <v>1</v>
      </c>
      <c r="J34" s="215">
        <v>0</v>
      </c>
      <c r="K34" s="29"/>
    </row>
    <row r="35" spans="1:15" x14ac:dyDescent="0.2">
      <c r="A35" s="215" t="s">
        <v>1442</v>
      </c>
      <c r="B35" s="310" t="s">
        <v>461</v>
      </c>
      <c r="C35" s="174">
        <f t="shared" si="6"/>
        <v>86</v>
      </c>
      <c r="D35" s="173">
        <f t="shared" si="0"/>
        <v>2.9034436191762322E-2</v>
      </c>
      <c r="E35" s="215">
        <v>38</v>
      </c>
      <c r="F35" s="215">
        <v>48</v>
      </c>
      <c r="G35" s="215">
        <v>51</v>
      </c>
      <c r="H35" s="215">
        <v>35</v>
      </c>
      <c r="I35" s="215">
        <v>56</v>
      </c>
      <c r="J35" s="215">
        <v>30</v>
      </c>
      <c r="K35" s="29"/>
    </row>
    <row r="36" spans="1:15" ht="18.75" customHeight="1" x14ac:dyDescent="0.2">
      <c r="A36" s="72" t="s">
        <v>87</v>
      </c>
      <c r="B36" s="73"/>
      <c r="C36" s="179">
        <f>SUM(C8:C35)</f>
        <v>2962</v>
      </c>
      <c r="D36" s="216">
        <f>SUM(D8:D35)</f>
        <v>0.99999999999999956</v>
      </c>
      <c r="E36" s="217">
        <f>SUM(E8:E35)</f>
        <v>1235</v>
      </c>
      <c r="F36" s="217">
        <f t="shared" ref="F36:J36" si="7">SUM(F8:F35)</f>
        <v>1727</v>
      </c>
      <c r="G36" s="217">
        <f t="shared" si="7"/>
        <v>2136</v>
      </c>
      <c r="H36" s="217">
        <f t="shared" si="7"/>
        <v>826</v>
      </c>
      <c r="I36" s="511">
        <f t="shared" si="7"/>
        <v>2669</v>
      </c>
      <c r="J36" s="511">
        <f t="shared" si="7"/>
        <v>293</v>
      </c>
      <c r="K36" s="29"/>
    </row>
    <row r="37" spans="1:15" x14ac:dyDescent="0.2">
      <c r="A37" s="9"/>
      <c r="D37" s="71"/>
      <c r="E37" s="74">
        <f>E36/C36</f>
        <v>0.41694800810263338</v>
      </c>
      <c r="F37" s="75">
        <f>F36/C36</f>
        <v>0.58305199189736667</v>
      </c>
      <c r="G37" s="76">
        <f>G36/C36</f>
        <v>0.72113436866981773</v>
      </c>
      <c r="H37" s="76">
        <f>H36/$C$36</f>
        <v>0.27886563133018233</v>
      </c>
      <c r="I37" s="76">
        <f>I36/$C$36</f>
        <v>0.90108035111411211</v>
      </c>
      <c r="J37" s="76">
        <f>J36/$C$36</f>
        <v>9.8919648885887917E-2</v>
      </c>
      <c r="K37" s="29"/>
    </row>
    <row r="38" spans="1:15" x14ac:dyDescent="0.2">
      <c r="A38" s="9"/>
      <c r="D38" s="71"/>
      <c r="E38" s="74"/>
      <c r="F38" s="75"/>
      <c r="G38" s="76"/>
      <c r="H38" s="76"/>
      <c r="I38" s="76"/>
      <c r="J38" s="76"/>
      <c r="K38" s="29"/>
    </row>
    <row r="39" spans="1:15" x14ac:dyDescent="0.2">
      <c r="A39" s="670" t="s">
        <v>83</v>
      </c>
      <c r="B39" s="670"/>
    </row>
    <row r="40" spans="1:15" ht="12.75" customHeight="1" x14ac:dyDescent="0.2">
      <c r="A40" s="77"/>
      <c r="B40" s="77"/>
      <c r="C40" s="671" t="s">
        <v>131</v>
      </c>
      <c r="D40" s="78"/>
      <c r="E40" s="664" t="s">
        <v>71</v>
      </c>
      <c r="F40" s="665"/>
      <c r="G40" s="664" t="s">
        <v>86</v>
      </c>
      <c r="H40" s="665"/>
      <c r="I40" s="664" t="s">
        <v>124</v>
      </c>
      <c r="J40" s="665"/>
    </row>
    <row r="41" spans="1:15" ht="15.75" hidden="1" customHeight="1" x14ac:dyDescent="0.2">
      <c r="A41" s="79"/>
      <c r="B41" s="79"/>
      <c r="C41" s="672"/>
      <c r="D41" s="80"/>
      <c r="E41" s="21"/>
      <c r="F41" s="81"/>
      <c r="G41" s="82"/>
      <c r="H41" s="82"/>
      <c r="I41" s="69"/>
      <c r="J41" s="69"/>
      <c r="K41" s="29"/>
    </row>
    <row r="42" spans="1:15" ht="17.25" customHeight="1" x14ac:dyDescent="0.2">
      <c r="A42" s="80" t="s">
        <v>65</v>
      </c>
      <c r="B42" s="80" t="s">
        <v>6</v>
      </c>
      <c r="C42" s="673"/>
      <c r="D42" s="80" t="s">
        <v>72</v>
      </c>
      <c r="E42" s="81" t="s">
        <v>82</v>
      </c>
      <c r="F42" s="81" t="s">
        <v>81</v>
      </c>
      <c r="G42" s="21" t="s">
        <v>173</v>
      </c>
      <c r="H42" s="21" t="s">
        <v>174</v>
      </c>
      <c r="I42" s="70" t="s">
        <v>130</v>
      </c>
      <c r="J42" s="70" t="s">
        <v>3</v>
      </c>
      <c r="K42" s="29"/>
    </row>
    <row r="43" spans="1:15" ht="13.9" customHeight="1" x14ac:dyDescent="0.2">
      <c r="A43" s="215" t="s">
        <v>1442</v>
      </c>
      <c r="B43" s="175" t="s">
        <v>277</v>
      </c>
      <c r="C43" s="176">
        <f t="shared" ref="C43:C52" si="8">D43/$D$52</f>
        <v>1.1141120864280891E-2</v>
      </c>
      <c r="D43" s="177">
        <f t="shared" ref="D43:D49" si="9">E43+F43</f>
        <v>33</v>
      </c>
      <c r="E43" s="177">
        <v>11</v>
      </c>
      <c r="F43" s="177">
        <v>22</v>
      </c>
      <c r="G43" s="177">
        <v>27</v>
      </c>
      <c r="H43" s="177">
        <v>6</v>
      </c>
      <c r="I43" s="177">
        <v>31</v>
      </c>
      <c r="J43" s="177">
        <v>2</v>
      </c>
      <c r="K43" s="29"/>
    </row>
    <row r="44" spans="1:15" x14ac:dyDescent="0.2">
      <c r="A44" s="215" t="s">
        <v>1442</v>
      </c>
      <c r="B44" s="175" t="s">
        <v>321</v>
      </c>
      <c r="C44" s="176">
        <f t="shared" si="8"/>
        <v>3.3760972316002703E-4</v>
      </c>
      <c r="D44" s="177">
        <f t="shared" si="9"/>
        <v>1</v>
      </c>
      <c r="E44" s="177">
        <v>1</v>
      </c>
      <c r="F44" s="177">
        <v>0</v>
      </c>
      <c r="G44" s="177">
        <v>1</v>
      </c>
      <c r="H44" s="177">
        <v>0</v>
      </c>
      <c r="I44" s="177">
        <v>1</v>
      </c>
      <c r="J44" s="177">
        <v>0</v>
      </c>
      <c r="K44" s="29"/>
    </row>
    <row r="45" spans="1:15" s="8" customFormat="1" x14ac:dyDescent="0.2">
      <c r="A45" s="215" t="s">
        <v>1442</v>
      </c>
      <c r="B45" s="175" t="s">
        <v>305</v>
      </c>
      <c r="C45" s="176">
        <f t="shared" si="8"/>
        <v>0.47535449020931803</v>
      </c>
      <c r="D45" s="177">
        <f>E45+F45</f>
        <v>1408</v>
      </c>
      <c r="E45" s="177">
        <v>611</v>
      </c>
      <c r="F45" s="177">
        <v>797</v>
      </c>
      <c r="G45" s="177">
        <v>1017</v>
      </c>
      <c r="H45" s="177">
        <v>391</v>
      </c>
      <c r="I45" s="177">
        <v>1319</v>
      </c>
      <c r="J45" s="177">
        <v>89</v>
      </c>
      <c r="K45" s="29"/>
      <c r="L45" s="3"/>
      <c r="M45" s="3"/>
      <c r="N45" s="3"/>
      <c r="O45" s="3"/>
    </row>
    <row r="46" spans="1:15" s="8" customFormat="1" x14ac:dyDescent="0.2">
      <c r="A46" s="215" t="s">
        <v>1442</v>
      </c>
      <c r="B46" s="175" t="s">
        <v>318</v>
      </c>
      <c r="C46" s="176">
        <f t="shared" si="8"/>
        <v>3.7137069547602971E-3</v>
      </c>
      <c r="D46" s="177">
        <f t="shared" si="9"/>
        <v>11</v>
      </c>
      <c r="E46" s="177">
        <v>4</v>
      </c>
      <c r="F46" s="177">
        <v>7</v>
      </c>
      <c r="G46" s="177">
        <v>7</v>
      </c>
      <c r="H46" s="177">
        <v>4</v>
      </c>
      <c r="I46" s="177">
        <v>9</v>
      </c>
      <c r="J46" s="177">
        <v>2</v>
      </c>
      <c r="K46" s="29"/>
      <c r="L46" s="3"/>
    </row>
    <row r="47" spans="1:15" s="8" customFormat="1" ht="12.75" customHeight="1" x14ac:dyDescent="0.2">
      <c r="A47" s="215" t="s">
        <v>1442</v>
      </c>
      <c r="B47" s="175" t="s">
        <v>300</v>
      </c>
      <c r="C47" s="176">
        <f t="shared" si="8"/>
        <v>7.0898041863605675E-3</v>
      </c>
      <c r="D47" s="177">
        <f>E47+F47</f>
        <v>21</v>
      </c>
      <c r="E47" s="177">
        <v>10</v>
      </c>
      <c r="F47" s="177">
        <v>11</v>
      </c>
      <c r="G47" s="177">
        <v>13</v>
      </c>
      <c r="H47" s="177">
        <v>8</v>
      </c>
      <c r="I47" s="177">
        <v>16</v>
      </c>
      <c r="J47" s="177">
        <v>5</v>
      </c>
      <c r="K47" s="29"/>
      <c r="L47" s="3"/>
    </row>
    <row r="48" spans="1:15" s="8" customFormat="1" ht="12.75" customHeight="1" x14ac:dyDescent="0.2">
      <c r="A48" s="215" t="s">
        <v>1442</v>
      </c>
      <c r="B48" s="175" t="s">
        <v>679</v>
      </c>
      <c r="C48" s="176">
        <f t="shared" si="8"/>
        <v>2.3632680621201892E-3</v>
      </c>
      <c r="D48" s="177">
        <f t="shared" si="9"/>
        <v>7</v>
      </c>
      <c r="E48" s="177">
        <v>4</v>
      </c>
      <c r="F48" s="177">
        <v>3</v>
      </c>
      <c r="G48" s="177">
        <v>6</v>
      </c>
      <c r="H48" s="177">
        <v>1</v>
      </c>
      <c r="I48" s="177">
        <v>5</v>
      </c>
      <c r="J48" s="177">
        <v>2</v>
      </c>
      <c r="K48" s="29"/>
      <c r="L48" s="3"/>
    </row>
    <row r="49" spans="1:12" s="8" customFormat="1" ht="12.75" customHeight="1" x14ac:dyDescent="0.2">
      <c r="A49" s="215" t="s">
        <v>1442</v>
      </c>
      <c r="B49" s="175" t="s">
        <v>301</v>
      </c>
      <c r="C49" s="176">
        <f t="shared" si="8"/>
        <v>2.5320729237002026E-2</v>
      </c>
      <c r="D49" s="177">
        <f t="shared" si="9"/>
        <v>75</v>
      </c>
      <c r="E49" s="177">
        <v>42</v>
      </c>
      <c r="F49" s="177">
        <v>33</v>
      </c>
      <c r="G49" s="177">
        <v>57</v>
      </c>
      <c r="H49" s="177">
        <v>18</v>
      </c>
      <c r="I49" s="177">
        <v>72</v>
      </c>
      <c r="J49" s="177">
        <v>3</v>
      </c>
      <c r="K49" s="29"/>
      <c r="L49" s="3"/>
    </row>
    <row r="50" spans="1:12" s="8" customFormat="1" x14ac:dyDescent="0.2">
      <c r="A50" s="215" t="s">
        <v>1442</v>
      </c>
      <c r="B50" s="175" t="s">
        <v>306</v>
      </c>
      <c r="C50" s="176">
        <f t="shared" si="8"/>
        <v>0.44564483457123566</v>
      </c>
      <c r="D50" s="177">
        <f>E50+F50</f>
        <v>1320</v>
      </c>
      <c r="E50" s="177">
        <v>514</v>
      </c>
      <c r="F50" s="177">
        <v>806</v>
      </c>
      <c r="G50" s="177">
        <v>957</v>
      </c>
      <c r="H50" s="177">
        <v>363</v>
      </c>
      <c r="I50" s="177">
        <v>1160</v>
      </c>
      <c r="J50" s="177">
        <v>160</v>
      </c>
      <c r="K50" s="29"/>
      <c r="L50" s="3"/>
    </row>
    <row r="51" spans="1:12" s="8" customFormat="1" x14ac:dyDescent="0.2">
      <c r="A51" s="215" t="s">
        <v>1442</v>
      </c>
      <c r="B51" s="175" t="s">
        <v>319</v>
      </c>
      <c r="C51" s="176">
        <f t="shared" si="8"/>
        <v>2.9034436191762322E-2</v>
      </c>
      <c r="D51" s="177">
        <f>E51+F51</f>
        <v>86</v>
      </c>
      <c r="E51" s="177">
        <v>38</v>
      </c>
      <c r="F51" s="177">
        <v>48</v>
      </c>
      <c r="G51" s="177">
        <v>51</v>
      </c>
      <c r="H51" s="177">
        <v>35</v>
      </c>
      <c r="I51" s="177">
        <v>56</v>
      </c>
      <c r="J51" s="177">
        <v>30</v>
      </c>
      <c r="K51" s="29"/>
      <c r="L51" s="3"/>
    </row>
    <row r="52" spans="1:12" x14ac:dyDescent="0.2">
      <c r="A52" s="83" t="s">
        <v>22</v>
      </c>
      <c r="B52" s="73"/>
      <c r="C52" s="216">
        <f t="shared" si="8"/>
        <v>1</v>
      </c>
      <c r="D52" s="178">
        <f>E52+F52</f>
        <v>2962</v>
      </c>
      <c r="E52" s="70">
        <f t="shared" ref="E52:J52" si="10">SUM(E43:E51)</f>
        <v>1235</v>
      </c>
      <c r="F52" s="70">
        <f t="shared" si="10"/>
        <v>1727</v>
      </c>
      <c r="G52" s="70">
        <f t="shared" si="10"/>
        <v>2136</v>
      </c>
      <c r="H52" s="70">
        <f t="shared" si="10"/>
        <v>826</v>
      </c>
      <c r="I52" s="70">
        <f t="shared" si="10"/>
        <v>2669</v>
      </c>
      <c r="J52" s="70">
        <f t="shared" si="10"/>
        <v>293</v>
      </c>
    </row>
    <row r="53" spans="1:12" x14ac:dyDescent="0.2">
      <c r="A53" s="29"/>
      <c r="B53" s="29"/>
      <c r="C53" s="29"/>
      <c r="D53" s="84"/>
      <c r="E53" s="76">
        <f>E52/D52</f>
        <v>0.41694800810263338</v>
      </c>
      <c r="F53" s="76">
        <f>F52/D52</f>
        <v>0.58305199189736667</v>
      </c>
      <c r="G53" s="76">
        <f>G52/D52</f>
        <v>0.72113436866981773</v>
      </c>
      <c r="H53" s="76">
        <f>H52/D52</f>
        <v>0.27886563133018233</v>
      </c>
      <c r="I53" s="76">
        <f>I52/D52</f>
        <v>0.90108035111411211</v>
      </c>
      <c r="J53" s="76">
        <f>J52/D52</f>
        <v>9.8919648885887917E-2</v>
      </c>
    </row>
    <row r="54" spans="1:12" x14ac:dyDescent="0.2">
      <c r="A54" s="29"/>
      <c r="B54" s="29"/>
      <c r="C54" s="84"/>
      <c r="D54" s="31"/>
      <c r="E54" s="85"/>
      <c r="F54" s="85"/>
      <c r="G54" s="29"/>
      <c r="H54" s="29"/>
      <c r="I54" s="29"/>
      <c r="J54" s="29"/>
    </row>
    <row r="55" spans="1:12" x14ac:dyDescent="0.2">
      <c r="A55" s="86" t="s">
        <v>182</v>
      </c>
      <c r="B55" s="29"/>
      <c r="C55" s="84"/>
      <c r="D55" s="31"/>
      <c r="E55" s="84"/>
      <c r="F55" s="84"/>
      <c r="G55" s="29"/>
      <c r="H55" s="29"/>
      <c r="I55" s="29"/>
      <c r="J55" s="29"/>
    </row>
    <row r="56" spans="1:12" x14ac:dyDescent="0.2">
      <c r="A56" s="77"/>
      <c r="B56" s="77"/>
      <c r="C56" s="78"/>
      <c r="D56" s="87"/>
      <c r="E56" s="666" t="s">
        <v>209</v>
      </c>
      <c r="F56" s="664" t="s">
        <v>71</v>
      </c>
      <c r="G56" s="665"/>
      <c r="H56" s="29"/>
      <c r="I56" s="29"/>
      <c r="J56" s="29"/>
    </row>
    <row r="57" spans="1:12" ht="21" customHeight="1" x14ac:dyDescent="0.2">
      <c r="A57" s="89" t="s">
        <v>65</v>
      </c>
      <c r="B57" s="88" t="s">
        <v>180</v>
      </c>
      <c r="C57" s="89" t="s">
        <v>86</v>
      </c>
      <c r="D57" s="89" t="s">
        <v>72</v>
      </c>
      <c r="E57" s="666"/>
      <c r="F57" s="21" t="s">
        <v>82</v>
      </c>
      <c r="G57" s="81" t="s">
        <v>81</v>
      </c>
      <c r="H57" s="29"/>
      <c r="I57" s="29"/>
      <c r="J57" s="29"/>
    </row>
    <row r="58" spans="1:12" x14ac:dyDescent="0.2">
      <c r="A58" s="215" t="s">
        <v>1442</v>
      </c>
      <c r="B58" s="98" t="s">
        <v>130</v>
      </c>
      <c r="C58" s="99" t="s">
        <v>108</v>
      </c>
      <c r="D58" s="100">
        <f>F58+G58</f>
        <v>2022</v>
      </c>
      <c r="E58" s="184">
        <f>D58/D61</f>
        <v>0.77057926829268297</v>
      </c>
      <c r="F58" s="185">
        <v>847</v>
      </c>
      <c r="G58" s="185">
        <v>1175</v>
      </c>
      <c r="H58" s="29"/>
      <c r="I58" s="29"/>
      <c r="J58" s="29"/>
    </row>
    <row r="59" spans="1:12" x14ac:dyDescent="0.2">
      <c r="A59" s="215" t="s">
        <v>1442</v>
      </c>
      <c r="B59" s="98" t="s">
        <v>130</v>
      </c>
      <c r="C59" s="99" t="s">
        <v>109</v>
      </c>
      <c r="D59" s="100">
        <f>F59+G59</f>
        <v>602</v>
      </c>
      <c r="E59" s="186">
        <f>D59/D61</f>
        <v>0.22942073170731708</v>
      </c>
      <c r="F59" s="187">
        <v>264</v>
      </c>
      <c r="G59" s="187">
        <v>338</v>
      </c>
      <c r="H59" s="29"/>
      <c r="I59" s="29"/>
      <c r="J59" s="29"/>
    </row>
    <row r="60" spans="1:12" x14ac:dyDescent="0.2">
      <c r="A60" s="90"/>
      <c r="B60" s="90"/>
      <c r="C60" s="96"/>
      <c r="D60" s="91"/>
      <c r="E60" s="91"/>
      <c r="F60" s="91">
        <f>F59+F58</f>
        <v>1111</v>
      </c>
      <c r="G60" s="91">
        <f>G59+G58</f>
        <v>1513</v>
      </c>
      <c r="H60" s="29"/>
      <c r="I60" s="29"/>
      <c r="J60" s="29"/>
    </row>
    <row r="61" spans="1:12" x14ac:dyDescent="0.2">
      <c r="A61" s="90" t="s">
        <v>132</v>
      </c>
      <c r="B61" s="90"/>
      <c r="C61" s="96"/>
      <c r="D61" s="91">
        <f>D59+D58</f>
        <v>2624</v>
      </c>
      <c r="E61" s="92">
        <f>D61/D72</f>
        <v>0.88588791357191088</v>
      </c>
      <c r="F61" s="92">
        <f>F60/D61</f>
        <v>0.42339939024390244</v>
      </c>
      <c r="G61" s="92">
        <f>G60/D61</f>
        <v>0.57660060975609762</v>
      </c>
      <c r="H61" s="29"/>
      <c r="I61" s="29"/>
      <c r="J61" s="29"/>
    </row>
    <row r="62" spans="1:12" x14ac:dyDescent="0.2">
      <c r="A62" s="99" t="str">
        <f>A59</f>
        <v>22FA</v>
      </c>
      <c r="B62" s="98" t="s">
        <v>196</v>
      </c>
      <c r="C62" s="99" t="s">
        <v>108</v>
      </c>
      <c r="D62" s="100">
        <f>F62+G62</f>
        <v>15</v>
      </c>
      <c r="E62" s="188">
        <f>D62/D65</f>
        <v>0.33333333333333331</v>
      </c>
      <c r="F62" s="187">
        <v>7</v>
      </c>
      <c r="G62" s="187">
        <v>8</v>
      </c>
      <c r="H62" s="29"/>
      <c r="I62" s="29"/>
      <c r="J62" s="29"/>
    </row>
    <row r="63" spans="1:12" x14ac:dyDescent="0.2">
      <c r="A63" s="99" t="str">
        <f>A59</f>
        <v>22FA</v>
      </c>
      <c r="B63" s="98" t="s">
        <v>196</v>
      </c>
      <c r="C63" s="99" t="s">
        <v>109</v>
      </c>
      <c r="D63" s="100">
        <f>F63+G63</f>
        <v>30</v>
      </c>
      <c r="E63" s="186">
        <f>D63/D65</f>
        <v>0.66666666666666663</v>
      </c>
      <c r="F63" s="187">
        <v>16</v>
      </c>
      <c r="G63" s="187">
        <v>14</v>
      </c>
      <c r="H63" s="29"/>
      <c r="I63" s="29"/>
      <c r="J63" s="29"/>
    </row>
    <row r="64" spans="1:12" x14ac:dyDescent="0.2">
      <c r="A64" s="90"/>
      <c r="B64" s="90"/>
      <c r="C64" s="96"/>
      <c r="D64" s="91"/>
      <c r="E64" s="91"/>
      <c r="F64" s="91">
        <f>F63+F62</f>
        <v>23</v>
      </c>
      <c r="G64" s="91">
        <f>G63+G62</f>
        <v>22</v>
      </c>
      <c r="H64" s="29"/>
      <c r="I64" s="29"/>
      <c r="J64" s="29"/>
    </row>
    <row r="65" spans="1:10" x14ac:dyDescent="0.2">
      <c r="A65" s="90" t="s">
        <v>133</v>
      </c>
      <c r="B65" s="90"/>
      <c r="C65" s="96"/>
      <c r="D65" s="91">
        <f>D63+D62</f>
        <v>45</v>
      </c>
      <c r="E65" s="92">
        <f>D65/D72</f>
        <v>1.5192437542201216E-2</v>
      </c>
      <c r="F65" s="92">
        <f>F64/D65</f>
        <v>0.51111111111111107</v>
      </c>
      <c r="G65" s="92">
        <f>G64/D65</f>
        <v>0.48888888888888887</v>
      </c>
      <c r="H65" s="29"/>
      <c r="I65" s="29"/>
      <c r="J65" s="29"/>
    </row>
    <row r="66" spans="1:10" x14ac:dyDescent="0.2">
      <c r="A66" s="99" t="str">
        <f>A62</f>
        <v>22FA</v>
      </c>
      <c r="B66" s="98" t="s">
        <v>3</v>
      </c>
      <c r="C66" s="99" t="s">
        <v>108</v>
      </c>
      <c r="D66" s="100">
        <f>F66+G66</f>
        <v>99</v>
      </c>
      <c r="E66" s="188">
        <f>D66/D69</f>
        <v>0.33788395904436858</v>
      </c>
      <c r="F66" s="187">
        <v>37</v>
      </c>
      <c r="G66" s="187">
        <v>62</v>
      </c>
      <c r="H66" s="29"/>
      <c r="I66" s="29"/>
      <c r="J66" s="29"/>
    </row>
    <row r="67" spans="1:10" x14ac:dyDescent="0.2">
      <c r="A67" s="99" t="str">
        <f>A58</f>
        <v>22FA</v>
      </c>
      <c r="B67" s="98" t="s">
        <v>3</v>
      </c>
      <c r="C67" s="99" t="s">
        <v>109</v>
      </c>
      <c r="D67" s="100">
        <f>F67+G67</f>
        <v>194</v>
      </c>
      <c r="E67" s="186">
        <f>D67/D69</f>
        <v>0.66211604095563137</v>
      </c>
      <c r="F67" s="187">
        <v>64</v>
      </c>
      <c r="G67" s="187">
        <v>130</v>
      </c>
      <c r="H67" s="29"/>
      <c r="I67" s="29"/>
      <c r="J67" s="29"/>
    </row>
    <row r="68" spans="1:10" x14ac:dyDescent="0.2">
      <c r="A68" s="90"/>
      <c r="B68" s="90"/>
      <c r="C68" s="96"/>
      <c r="D68" s="91"/>
      <c r="E68" s="91"/>
      <c r="F68" s="91">
        <f>F67+F66</f>
        <v>101</v>
      </c>
      <c r="G68" s="91">
        <f>G67+G66</f>
        <v>192</v>
      </c>
      <c r="H68" s="29"/>
      <c r="I68" s="29"/>
      <c r="J68" s="29"/>
    </row>
    <row r="69" spans="1:10" x14ac:dyDescent="0.2">
      <c r="A69" s="90" t="s">
        <v>134</v>
      </c>
      <c r="B69" s="90"/>
      <c r="C69" s="96"/>
      <c r="D69" s="91">
        <f>D67+D66</f>
        <v>293</v>
      </c>
      <c r="E69" s="92">
        <f>D69/D72</f>
        <v>9.8919648885887917E-2</v>
      </c>
      <c r="F69" s="92">
        <f>F68/D69</f>
        <v>0.34470989761092152</v>
      </c>
      <c r="G69" s="92">
        <f>G68/D69</f>
        <v>0.65529010238907848</v>
      </c>
      <c r="H69" s="29"/>
      <c r="I69" s="29"/>
      <c r="J69" s="29"/>
    </row>
    <row r="70" spans="1:10" x14ac:dyDescent="0.2">
      <c r="A70" s="190" t="str">
        <f>A67</f>
        <v>22FA</v>
      </c>
      <c r="B70" s="189" t="s">
        <v>181</v>
      </c>
      <c r="C70" s="190" t="s">
        <v>108</v>
      </c>
      <c r="D70" s="193">
        <f>F70+G70</f>
        <v>2136</v>
      </c>
      <c r="E70" s="192">
        <f>D70/D72</f>
        <v>0.72113436866981773</v>
      </c>
      <c r="F70" s="191">
        <f>F58+F62+F66</f>
        <v>891</v>
      </c>
      <c r="G70" s="191">
        <f>G58+G62+G66</f>
        <v>1245</v>
      </c>
      <c r="H70" s="29"/>
      <c r="I70" s="29"/>
      <c r="J70" s="29"/>
    </row>
    <row r="71" spans="1:10" ht="18.75" customHeight="1" x14ac:dyDescent="0.2">
      <c r="A71" s="190" t="str">
        <f>A70</f>
        <v>22FA</v>
      </c>
      <c r="B71" s="189" t="s">
        <v>181</v>
      </c>
      <c r="C71" s="190" t="s">
        <v>109</v>
      </c>
      <c r="D71" s="193">
        <f>F71+G71</f>
        <v>826</v>
      </c>
      <c r="E71" s="192">
        <f>D71/D72</f>
        <v>0.27886563133018233</v>
      </c>
      <c r="F71" s="191">
        <f>F59+F63+F67</f>
        <v>344</v>
      </c>
      <c r="G71" s="191">
        <f>G59+G63+G67</f>
        <v>482</v>
      </c>
      <c r="H71" s="29"/>
      <c r="I71" s="29"/>
      <c r="J71" s="29"/>
    </row>
    <row r="72" spans="1:10" x14ac:dyDescent="0.2">
      <c r="A72" s="93" t="s">
        <v>87</v>
      </c>
      <c r="B72" s="93"/>
      <c r="C72" s="97"/>
      <c r="D72" s="94">
        <f>D69+D61+D65</f>
        <v>2962</v>
      </c>
      <c r="E72" s="95">
        <f>E70+E71</f>
        <v>1</v>
      </c>
      <c r="F72" s="94">
        <f>F68+F60+F64</f>
        <v>1235</v>
      </c>
      <c r="G72" s="94">
        <f>G68+G60+G64</f>
        <v>1727</v>
      </c>
      <c r="H72" s="29"/>
      <c r="I72" s="29"/>
      <c r="J72" s="29"/>
    </row>
    <row r="73" spans="1:10" x14ac:dyDescent="0.2">
      <c r="A73" s="29"/>
      <c r="B73" s="29"/>
      <c r="C73" s="84"/>
      <c r="D73" s="84"/>
      <c r="E73" s="84"/>
      <c r="F73" s="74">
        <f>F72/$D$72</f>
        <v>0.41694800810263338</v>
      </c>
      <c r="G73" s="74">
        <f>G72/$D$72</f>
        <v>0.58305199189736667</v>
      </c>
      <c r="H73" s="29"/>
      <c r="I73" s="29"/>
      <c r="J73" s="29"/>
    </row>
    <row r="74" spans="1:10" x14ac:dyDescent="0.2">
      <c r="A74" s="29"/>
      <c r="B74" s="29"/>
      <c r="C74" s="84"/>
      <c r="D74" s="31"/>
      <c r="E74" s="84"/>
      <c r="F74" s="84"/>
      <c r="G74" s="29"/>
      <c r="H74" s="29"/>
      <c r="I74" s="29"/>
      <c r="J74" s="29"/>
    </row>
    <row r="75" spans="1:10" x14ac:dyDescent="0.2">
      <c r="A75" s="29"/>
      <c r="B75" s="29"/>
      <c r="C75" s="84"/>
      <c r="D75" s="31"/>
      <c r="E75" s="84"/>
      <c r="F75" s="84"/>
      <c r="G75" s="29"/>
      <c r="H75" s="29"/>
      <c r="I75" s="29"/>
      <c r="J75" s="29"/>
    </row>
    <row r="76" spans="1:10" x14ac:dyDescent="0.2">
      <c r="A76" s="29"/>
      <c r="B76" s="29"/>
      <c r="C76" s="84"/>
      <c r="D76" s="31"/>
      <c r="E76" s="84"/>
      <c r="F76" s="84"/>
      <c r="G76" s="29"/>
      <c r="H76" s="29"/>
      <c r="I76" s="29"/>
      <c r="J76" s="29"/>
    </row>
    <row r="77" spans="1:10" x14ac:dyDescent="0.2">
      <c r="A77" s="29"/>
      <c r="B77" s="29"/>
      <c r="C77" s="84"/>
      <c r="D77" s="31"/>
      <c r="E77" s="84"/>
      <c r="F77" s="84"/>
      <c r="G77" s="29"/>
      <c r="H77" s="29"/>
      <c r="I77" s="29"/>
      <c r="J77" s="29"/>
    </row>
    <row r="78" spans="1:10" x14ac:dyDescent="0.2">
      <c r="A78" s="29"/>
      <c r="B78" s="29"/>
      <c r="C78" s="84"/>
      <c r="D78" s="31"/>
      <c r="E78" s="84"/>
      <c r="F78" s="84"/>
      <c r="G78" s="29"/>
      <c r="H78" s="29"/>
      <c r="I78" s="29"/>
      <c r="J78" s="29"/>
    </row>
    <row r="79" spans="1:10" x14ac:dyDescent="0.2">
      <c r="A79" s="29"/>
      <c r="B79" s="29"/>
      <c r="C79" s="84"/>
      <c r="D79" s="31"/>
      <c r="E79" s="84"/>
      <c r="F79" s="84"/>
      <c r="G79" s="29"/>
      <c r="H79" s="29"/>
      <c r="I79" s="29"/>
      <c r="J79" s="29"/>
    </row>
    <row r="80" spans="1:10" x14ac:dyDescent="0.2">
      <c r="A80" s="29"/>
      <c r="B80" s="29"/>
      <c r="C80" s="84"/>
      <c r="D80" s="31"/>
      <c r="E80" s="84"/>
      <c r="F80" s="84"/>
      <c r="G80" s="29"/>
      <c r="H80" s="29"/>
      <c r="I80" s="29"/>
      <c r="J80" s="29"/>
    </row>
    <row r="81" spans="1:10" x14ac:dyDescent="0.2">
      <c r="A81" s="29"/>
      <c r="B81" s="29"/>
      <c r="C81" s="84"/>
      <c r="D81" s="31"/>
      <c r="E81" s="84"/>
      <c r="F81" s="84"/>
      <c r="G81" s="29"/>
      <c r="H81" s="29"/>
      <c r="I81" s="29"/>
      <c r="J81" s="29"/>
    </row>
    <row r="82" spans="1:10" x14ac:dyDescent="0.2">
      <c r="A82" s="29"/>
      <c r="B82" s="29"/>
      <c r="C82" s="84"/>
      <c r="D82" s="31"/>
      <c r="E82" s="84"/>
      <c r="F82" s="84"/>
      <c r="G82" s="29"/>
      <c r="H82" s="29"/>
      <c r="I82" s="29"/>
      <c r="J82" s="29"/>
    </row>
    <row r="83" spans="1:10" x14ac:dyDescent="0.2">
      <c r="A83" s="29"/>
      <c r="B83" s="29"/>
      <c r="C83" s="84"/>
      <c r="D83" s="31"/>
      <c r="E83" s="84"/>
      <c r="F83" s="84"/>
      <c r="G83" s="29"/>
      <c r="H83" s="29"/>
      <c r="I83" s="29"/>
      <c r="J83" s="29"/>
    </row>
    <row r="84" spans="1:10" x14ac:dyDescent="0.2">
      <c r="A84" s="29"/>
      <c r="B84" s="29"/>
      <c r="C84" s="84"/>
      <c r="D84" s="31"/>
      <c r="E84" s="84"/>
      <c r="F84" s="84"/>
      <c r="G84" s="29"/>
      <c r="H84" s="29"/>
      <c r="I84" s="29"/>
      <c r="J84" s="29"/>
    </row>
    <row r="85" spans="1:10" x14ac:dyDescent="0.2">
      <c r="A85" s="29"/>
      <c r="B85" s="29"/>
      <c r="C85" s="84"/>
      <c r="D85" s="31"/>
      <c r="E85" s="84"/>
      <c r="F85" s="84"/>
      <c r="G85" s="29"/>
      <c r="H85" s="29"/>
      <c r="I85" s="29"/>
      <c r="J85" s="29"/>
    </row>
    <row r="86" spans="1:10" x14ac:dyDescent="0.2">
      <c r="A86" s="29"/>
      <c r="B86" s="29"/>
      <c r="C86" s="84"/>
      <c r="D86" s="31"/>
      <c r="E86" s="84"/>
      <c r="F86" s="84"/>
      <c r="G86" s="29"/>
      <c r="H86" s="29"/>
      <c r="I86" s="29"/>
      <c r="J86" s="29"/>
    </row>
    <row r="87" spans="1:10" x14ac:dyDescent="0.2">
      <c r="A87" s="29"/>
      <c r="B87" s="29"/>
      <c r="C87" s="84"/>
      <c r="D87" s="31"/>
      <c r="E87" s="84"/>
      <c r="F87" s="84"/>
      <c r="G87" s="29"/>
      <c r="H87" s="29"/>
      <c r="I87" s="29"/>
      <c r="J87" s="29"/>
    </row>
    <row r="88" spans="1:10" x14ac:dyDescent="0.2">
      <c r="A88" s="29"/>
      <c r="B88" s="29"/>
      <c r="C88" s="84"/>
      <c r="D88" s="31"/>
      <c r="E88" s="84"/>
      <c r="F88" s="84"/>
      <c r="G88" s="29"/>
      <c r="H88" s="29"/>
      <c r="I88" s="29"/>
      <c r="J88" s="29"/>
    </row>
    <row r="89" spans="1:10" x14ac:dyDescent="0.2">
      <c r="A89" s="29"/>
      <c r="B89" s="29"/>
      <c r="C89" s="84"/>
      <c r="D89" s="31"/>
      <c r="E89" s="84"/>
      <c r="F89" s="84"/>
      <c r="G89" s="29"/>
      <c r="H89" s="29"/>
      <c r="I89" s="29"/>
      <c r="J89" s="29"/>
    </row>
    <row r="90" spans="1:10" x14ac:dyDescent="0.2">
      <c r="A90" s="29"/>
      <c r="B90" s="29"/>
      <c r="C90" s="84"/>
      <c r="D90" s="31"/>
      <c r="E90" s="84"/>
      <c r="F90" s="84"/>
      <c r="G90" s="29"/>
      <c r="H90" s="29"/>
      <c r="I90" s="29"/>
      <c r="J90" s="29"/>
    </row>
    <row r="91" spans="1:10" x14ac:dyDescent="0.2">
      <c r="A91" s="29"/>
      <c r="B91" s="29"/>
      <c r="C91" s="84"/>
      <c r="D91" s="31"/>
      <c r="E91" s="84"/>
      <c r="F91" s="84"/>
      <c r="G91" s="29"/>
      <c r="H91" s="29"/>
      <c r="I91" s="29"/>
      <c r="J91" s="29"/>
    </row>
    <row r="92" spans="1:10" x14ac:dyDescent="0.2">
      <c r="A92" s="29"/>
      <c r="B92" s="29"/>
      <c r="C92" s="84"/>
      <c r="D92" s="31"/>
      <c r="E92" s="84"/>
      <c r="F92" s="84"/>
      <c r="G92" s="29"/>
      <c r="H92" s="29"/>
      <c r="I92" s="29"/>
      <c r="J92" s="29"/>
    </row>
    <row r="93" spans="1:10" x14ac:dyDescent="0.2">
      <c r="A93" s="29"/>
      <c r="B93" s="29"/>
      <c r="C93" s="84"/>
      <c r="D93" s="31"/>
      <c r="E93" s="84"/>
      <c r="F93" s="84"/>
      <c r="G93" s="29"/>
      <c r="H93" s="29"/>
      <c r="I93" s="29"/>
      <c r="J93" s="29"/>
    </row>
    <row r="94" spans="1:10" x14ac:dyDescent="0.2">
      <c r="A94" s="29"/>
      <c r="B94" s="29"/>
      <c r="C94" s="84"/>
      <c r="D94" s="31"/>
      <c r="E94" s="84"/>
      <c r="F94" s="84"/>
      <c r="G94" s="29"/>
      <c r="H94" s="29"/>
      <c r="I94" s="29"/>
      <c r="J94" s="29"/>
    </row>
    <row r="95" spans="1:10" x14ac:dyDescent="0.2">
      <c r="A95" s="29"/>
      <c r="B95" s="29"/>
      <c r="C95" s="84"/>
      <c r="D95" s="31"/>
      <c r="E95" s="84"/>
      <c r="F95" s="84"/>
      <c r="G95" s="29"/>
      <c r="H95" s="29"/>
      <c r="I95" s="29"/>
      <c r="J95" s="29"/>
    </row>
    <row r="96" spans="1:10" x14ac:dyDescent="0.2">
      <c r="A96" s="29"/>
      <c r="B96" s="29"/>
      <c r="C96" s="84"/>
      <c r="D96" s="31"/>
      <c r="E96" s="84"/>
      <c r="F96" s="84"/>
      <c r="G96" s="29"/>
      <c r="H96" s="29"/>
      <c r="I96" s="29"/>
      <c r="J96" s="29"/>
    </row>
    <row r="97" spans="1:10" x14ac:dyDescent="0.2">
      <c r="A97" s="29"/>
      <c r="B97" s="29"/>
      <c r="C97" s="84"/>
      <c r="D97" s="31"/>
      <c r="E97" s="84"/>
      <c r="F97" s="84"/>
      <c r="G97" s="29"/>
      <c r="H97" s="29"/>
      <c r="I97" s="29"/>
      <c r="J97" s="29"/>
    </row>
    <row r="98" spans="1:10" x14ac:dyDescent="0.2">
      <c r="A98" s="29"/>
      <c r="B98" s="29"/>
      <c r="C98" s="84"/>
      <c r="D98" s="31"/>
      <c r="E98" s="84"/>
      <c r="F98" s="84"/>
      <c r="G98" s="29"/>
      <c r="H98" s="29"/>
      <c r="I98" s="29"/>
      <c r="J98" s="29"/>
    </row>
  </sheetData>
  <mergeCells count="11">
    <mergeCell ref="A5:J5"/>
    <mergeCell ref="F56:G56"/>
    <mergeCell ref="E56:E57"/>
    <mergeCell ref="I40:J40"/>
    <mergeCell ref="E40:F40"/>
    <mergeCell ref="G40:H40"/>
    <mergeCell ref="I6:J6"/>
    <mergeCell ref="E6:F6"/>
    <mergeCell ref="A39:B39"/>
    <mergeCell ref="G6:H6"/>
    <mergeCell ref="C40:C42"/>
  </mergeCells>
  <phoneticPr fontId="0" type="noConversion"/>
  <hyperlinks>
    <hyperlink ref="F1" location="'Table of Contents'!A1" display="Back to Table Of Contents" xr:uid="{00000000-0004-0000-0500-000000000000}"/>
  </hyperlinks>
  <pageMargins left="0.5" right="0.5" top="0.5" bottom="0.5" header="0.5" footer="0.25"/>
  <pageSetup orientation="landscape" r:id="rId1"/>
  <headerFooter alignWithMargins="0">
    <oddHeader>&amp;ROctober 2022</oddHeader>
    <oddFooter>&amp;CPage &amp;P of &amp;N&amp;R&amp;8&amp;F</oddFooter>
  </headerFooter>
  <rowBreaks count="2" manualBreakCount="2">
    <brk id="37" max="16383" man="1"/>
    <brk id="53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theme="6"/>
  </sheetPr>
  <dimension ref="A1:M101"/>
  <sheetViews>
    <sheetView zoomScaleNormal="100" zoomScalePageLayoutView="80" workbookViewId="0">
      <selection activeCell="F1" sqref="F1"/>
    </sheetView>
  </sheetViews>
  <sheetFormatPr defaultColWidth="8.85546875" defaultRowHeight="12.75" x14ac:dyDescent="0.2"/>
  <cols>
    <col min="1" max="1" width="8.140625" style="3" customWidth="1"/>
    <col min="2" max="2" width="12.28515625" style="3" customWidth="1"/>
    <col min="3" max="3" width="10.85546875" style="3" customWidth="1"/>
    <col min="4" max="4" width="11.5703125" style="3" customWidth="1"/>
    <col min="5" max="5" width="10.42578125" style="3" customWidth="1"/>
    <col min="6" max="6" width="8.140625" style="3" bestFit="1" customWidth="1"/>
    <col min="7" max="7" width="7.85546875" style="3" customWidth="1"/>
    <col min="8" max="8" width="10.85546875" style="3" customWidth="1"/>
    <col min="9" max="9" width="8" style="3" customWidth="1"/>
    <col min="10" max="10" width="8.85546875" style="3"/>
    <col min="11" max="11" width="8.7109375" style="3" customWidth="1"/>
    <col min="12" max="12" width="8.85546875" style="3" customWidth="1"/>
    <col min="13" max="16384" width="8.85546875" style="3"/>
  </cols>
  <sheetData>
    <row r="1" spans="1:13" ht="18" x14ac:dyDescent="0.25">
      <c r="B1" s="14"/>
      <c r="F1" s="194" t="s">
        <v>98</v>
      </c>
    </row>
    <row r="2" spans="1:13" x14ac:dyDescent="0.2">
      <c r="B2" s="19"/>
    </row>
    <row r="3" spans="1:13" ht="13.9" customHeight="1" x14ac:dyDescent="0.2">
      <c r="B3" s="20"/>
    </row>
    <row r="4" spans="1:13" ht="20.25" customHeight="1" x14ac:dyDescent="0.2">
      <c r="B4" s="7"/>
    </row>
    <row r="5" spans="1:13" ht="12.75" customHeight="1" x14ac:dyDescent="0.2">
      <c r="A5" s="688" t="s">
        <v>140</v>
      </c>
      <c r="B5" s="688"/>
      <c r="C5" s="688"/>
      <c r="D5" s="688"/>
      <c r="E5" s="688"/>
      <c r="F5" s="688"/>
      <c r="G5" s="688"/>
      <c r="H5" s="688"/>
      <c r="I5" s="29"/>
      <c r="J5" s="29"/>
    </row>
    <row r="6" spans="1:13" ht="18.75" customHeight="1" x14ac:dyDescent="0.2">
      <c r="A6" s="685" t="s">
        <v>65</v>
      </c>
      <c r="B6" s="687" t="s">
        <v>7</v>
      </c>
      <c r="C6" s="683" t="s">
        <v>38</v>
      </c>
      <c r="D6" s="685" t="s">
        <v>73</v>
      </c>
      <c r="E6" s="667" t="s">
        <v>135</v>
      </c>
      <c r="F6" s="669"/>
      <c r="G6" s="669"/>
      <c r="H6" s="668"/>
      <c r="I6" s="29"/>
      <c r="J6" s="29"/>
    </row>
    <row r="7" spans="1:13" x14ac:dyDescent="0.2">
      <c r="A7" s="686"/>
      <c r="B7" s="687"/>
      <c r="C7" s="684"/>
      <c r="D7" s="686"/>
      <c r="E7" s="195" t="s">
        <v>68</v>
      </c>
      <c r="F7" s="196" t="s">
        <v>187</v>
      </c>
      <c r="G7" s="196" t="s">
        <v>67</v>
      </c>
      <c r="H7" s="195" t="s">
        <v>188</v>
      </c>
      <c r="I7" s="29"/>
      <c r="J7" s="29"/>
    </row>
    <row r="8" spans="1:13" ht="13.9" customHeight="1" x14ac:dyDescent="0.2">
      <c r="A8" s="31" t="s">
        <v>1442</v>
      </c>
      <c r="B8" s="101" t="str">
        <f>'7-Ethnic_Gender'!G7</f>
        <v>Full Time</v>
      </c>
      <c r="C8" s="181">
        <f>SUM(D15:D31)</f>
        <v>2136</v>
      </c>
      <c r="D8" s="102">
        <f>C8/C10</f>
        <v>0.72113436866981773</v>
      </c>
      <c r="E8" s="103">
        <f>SUM(E18:E31)+SUM(G18:G31)</f>
        <v>2037</v>
      </c>
      <c r="F8" s="102">
        <f>E8/E10</f>
        <v>0.76320719370550771</v>
      </c>
      <c r="G8" s="103">
        <f>SUM(I15:I31)</f>
        <v>99</v>
      </c>
      <c r="H8" s="102">
        <f>G8/G10</f>
        <v>0.33788395904436858</v>
      </c>
      <c r="I8" s="29"/>
      <c r="J8" s="29"/>
    </row>
    <row r="9" spans="1:13" x14ac:dyDescent="0.2">
      <c r="A9" s="31" t="s">
        <v>1442</v>
      </c>
      <c r="B9" s="104" t="str">
        <f>'7-Ethnic_Gender'!H7</f>
        <v>Part Time</v>
      </c>
      <c r="C9" s="31">
        <f>SUM(D37:D48)</f>
        <v>826</v>
      </c>
      <c r="D9" s="102">
        <f>C9/C10</f>
        <v>0.27886563133018233</v>
      </c>
      <c r="E9" s="103">
        <f>SUM(E37:E48)+SUM(G37:G48)</f>
        <v>632</v>
      </c>
      <c r="F9" s="102">
        <f>E9/E10</f>
        <v>0.23679280629449231</v>
      </c>
      <c r="G9" s="103">
        <f>SUM(I37:I45)</f>
        <v>194</v>
      </c>
      <c r="H9" s="102">
        <f>G9/G10</f>
        <v>0.66211604095563137</v>
      </c>
      <c r="I9" s="29"/>
      <c r="J9" s="29"/>
    </row>
    <row r="10" spans="1:13" x14ac:dyDescent="0.2">
      <c r="A10" s="105"/>
      <c r="B10" s="105" t="s">
        <v>22</v>
      </c>
      <c r="C10" s="182">
        <f t="shared" ref="C10:G10" si="0">C8+C9</f>
        <v>2962</v>
      </c>
      <c r="D10" s="107">
        <f>D8+D9</f>
        <v>1</v>
      </c>
      <c r="E10" s="106">
        <f t="shared" si="0"/>
        <v>2669</v>
      </c>
      <c r="F10" s="108">
        <f t="shared" si="0"/>
        <v>1</v>
      </c>
      <c r="G10" s="106">
        <f t="shared" si="0"/>
        <v>293</v>
      </c>
      <c r="H10" s="108">
        <f>H8+H9</f>
        <v>1</v>
      </c>
      <c r="I10" s="29"/>
      <c r="J10" s="29"/>
    </row>
    <row r="11" spans="1:13" x14ac:dyDescent="0.2">
      <c r="A11" s="105"/>
      <c r="B11" s="105"/>
      <c r="C11" s="106"/>
      <c r="D11" s="107"/>
      <c r="E11" s="109">
        <f>E10/C10</f>
        <v>0.90108035111411211</v>
      </c>
      <c r="F11" s="108"/>
      <c r="G11" s="109">
        <f>G10/C10</f>
        <v>9.8919648885887917E-2</v>
      </c>
      <c r="H11" s="108"/>
      <c r="I11" s="29"/>
      <c r="J11" s="29"/>
    </row>
    <row r="12" spans="1:13" ht="4.9000000000000004" customHeight="1" x14ac:dyDescent="0.2">
      <c r="A12" s="29"/>
      <c r="B12" s="29"/>
      <c r="C12" s="29"/>
      <c r="D12" s="31"/>
      <c r="E12" s="110"/>
      <c r="F12" s="111"/>
      <c r="G12" s="112"/>
      <c r="H12" s="111"/>
      <c r="I12" s="112"/>
      <c r="J12" s="29"/>
      <c r="M12" s="134"/>
    </row>
    <row r="13" spans="1:13" x14ac:dyDescent="0.2">
      <c r="A13" s="674" t="s">
        <v>65</v>
      </c>
      <c r="B13" s="674" t="s">
        <v>7</v>
      </c>
      <c r="C13" s="675" t="s">
        <v>137</v>
      </c>
      <c r="D13" s="676" t="s">
        <v>142</v>
      </c>
      <c r="E13" s="674" t="s">
        <v>130</v>
      </c>
      <c r="F13" s="674"/>
      <c r="G13" s="674" t="s">
        <v>144</v>
      </c>
      <c r="H13" s="674"/>
      <c r="I13" s="674" t="s">
        <v>3</v>
      </c>
      <c r="J13" s="674"/>
      <c r="K13" s="29"/>
    </row>
    <row r="14" spans="1:13" ht="25.5" x14ac:dyDescent="0.2">
      <c r="A14" s="674"/>
      <c r="B14" s="674"/>
      <c r="C14" s="675"/>
      <c r="D14" s="676"/>
      <c r="E14" s="300" t="s">
        <v>153</v>
      </c>
      <c r="F14" s="300" t="s">
        <v>143</v>
      </c>
      <c r="G14" s="300" t="s">
        <v>153</v>
      </c>
      <c r="H14" s="300" t="s">
        <v>143</v>
      </c>
      <c r="I14" s="300" t="s">
        <v>153</v>
      </c>
      <c r="J14" s="300" t="s">
        <v>143</v>
      </c>
      <c r="K14" s="29"/>
    </row>
    <row r="15" spans="1:13" x14ac:dyDescent="0.2">
      <c r="A15" s="31" t="s">
        <v>1442</v>
      </c>
      <c r="B15" s="29" t="s">
        <v>189</v>
      </c>
      <c r="C15" s="113">
        <v>9</v>
      </c>
      <c r="D15" s="114">
        <f>I15</f>
        <v>61</v>
      </c>
      <c r="E15" s="131" t="s">
        <v>117</v>
      </c>
      <c r="F15" s="131" t="s">
        <v>117</v>
      </c>
      <c r="G15" s="131" t="s">
        <v>117</v>
      </c>
      <c r="H15" s="131" t="s">
        <v>117</v>
      </c>
      <c r="I15" s="29">
        <v>61</v>
      </c>
      <c r="J15" s="29">
        <f>I15*C15</f>
        <v>549</v>
      </c>
      <c r="K15" s="29"/>
    </row>
    <row r="16" spans="1:13" x14ac:dyDescent="0.2">
      <c r="A16" s="31" t="s">
        <v>1442</v>
      </c>
      <c r="B16" s="29" t="s">
        <v>189</v>
      </c>
      <c r="C16" s="113">
        <v>10</v>
      </c>
      <c r="D16" s="114">
        <f>I16</f>
        <v>10</v>
      </c>
      <c r="E16" s="131" t="s">
        <v>117</v>
      </c>
      <c r="F16" s="131" t="s">
        <v>117</v>
      </c>
      <c r="G16" s="131" t="s">
        <v>117</v>
      </c>
      <c r="H16" s="131" t="s">
        <v>117</v>
      </c>
      <c r="I16" s="29">
        <v>10</v>
      </c>
      <c r="J16" s="29">
        <f t="shared" ref="J16:J31" si="1">I16*C16</f>
        <v>100</v>
      </c>
      <c r="K16" s="29"/>
    </row>
    <row r="17" spans="1:11" x14ac:dyDescent="0.2">
      <c r="A17" s="31" t="s">
        <v>1442</v>
      </c>
      <c r="B17" s="29" t="s">
        <v>189</v>
      </c>
      <c r="C17" s="113">
        <v>11</v>
      </c>
      <c r="D17" s="114">
        <f>I17</f>
        <v>4</v>
      </c>
      <c r="E17" s="131" t="s">
        <v>117</v>
      </c>
      <c r="F17" s="131" t="s">
        <v>117</v>
      </c>
      <c r="G17" s="131" t="s">
        <v>117</v>
      </c>
      <c r="H17" s="131" t="s">
        <v>117</v>
      </c>
      <c r="I17" s="29">
        <v>4</v>
      </c>
      <c r="J17" s="29">
        <f t="shared" si="1"/>
        <v>44</v>
      </c>
      <c r="K17" s="29"/>
    </row>
    <row r="18" spans="1:11" x14ac:dyDescent="0.2">
      <c r="A18" s="31" t="s">
        <v>1442</v>
      </c>
      <c r="B18" s="29" t="s">
        <v>173</v>
      </c>
      <c r="C18" s="113">
        <v>12</v>
      </c>
      <c r="D18" s="29">
        <f>E18+G18+I18</f>
        <v>708</v>
      </c>
      <c r="E18" s="29">
        <v>677</v>
      </c>
      <c r="F18" s="29">
        <f>E18*C18</f>
        <v>8124</v>
      </c>
      <c r="G18" s="29">
        <v>8</v>
      </c>
      <c r="H18" s="29">
        <f t="shared" ref="H18:H31" si="2">G18*C18</f>
        <v>96</v>
      </c>
      <c r="I18" s="29">
        <v>23</v>
      </c>
      <c r="J18" s="29">
        <f t="shared" si="1"/>
        <v>276</v>
      </c>
      <c r="K18" s="29"/>
    </row>
    <row r="19" spans="1:11" x14ac:dyDescent="0.2">
      <c r="A19" s="31" t="s">
        <v>1442</v>
      </c>
      <c r="B19" s="29" t="s">
        <v>173</v>
      </c>
      <c r="C19" s="113">
        <v>13</v>
      </c>
      <c r="D19" s="29">
        <f t="shared" ref="D19:D31" si="3">E19+G19+I19</f>
        <v>342</v>
      </c>
      <c r="E19" s="29">
        <v>339</v>
      </c>
      <c r="F19" s="29">
        <f t="shared" ref="F19:F31" si="4">E19*C19</f>
        <v>4407</v>
      </c>
      <c r="G19" s="29">
        <v>2</v>
      </c>
      <c r="H19" s="29">
        <f t="shared" si="2"/>
        <v>26</v>
      </c>
      <c r="I19" s="29">
        <v>1</v>
      </c>
      <c r="J19" s="29">
        <f t="shared" si="1"/>
        <v>13</v>
      </c>
      <c r="K19" s="29"/>
    </row>
    <row r="20" spans="1:11" x14ac:dyDescent="0.2">
      <c r="A20" s="31" t="s">
        <v>1442</v>
      </c>
      <c r="B20" s="29" t="s">
        <v>173</v>
      </c>
      <c r="C20" s="113">
        <v>14</v>
      </c>
      <c r="D20" s="29">
        <f t="shared" si="3"/>
        <v>187</v>
      </c>
      <c r="E20" s="29">
        <v>187</v>
      </c>
      <c r="F20" s="29">
        <f t="shared" si="4"/>
        <v>2618</v>
      </c>
      <c r="G20" s="29">
        <v>0</v>
      </c>
      <c r="H20" s="29">
        <f t="shared" si="2"/>
        <v>0</v>
      </c>
      <c r="I20" s="29">
        <v>0</v>
      </c>
      <c r="J20" s="29">
        <f t="shared" si="1"/>
        <v>0</v>
      </c>
      <c r="K20" s="29"/>
    </row>
    <row r="21" spans="1:11" x14ac:dyDescent="0.2">
      <c r="A21" s="31" t="s">
        <v>1442</v>
      </c>
      <c r="B21" s="29" t="s">
        <v>173</v>
      </c>
      <c r="C21" s="113">
        <v>15</v>
      </c>
      <c r="D21" s="29">
        <f t="shared" si="3"/>
        <v>426</v>
      </c>
      <c r="E21" s="29">
        <v>423</v>
      </c>
      <c r="F21" s="29">
        <f t="shared" si="4"/>
        <v>6345</v>
      </c>
      <c r="G21" s="29">
        <v>3</v>
      </c>
      <c r="H21" s="29">
        <f t="shared" si="2"/>
        <v>45</v>
      </c>
      <c r="I21" s="29">
        <v>0</v>
      </c>
      <c r="J21" s="29">
        <f t="shared" si="1"/>
        <v>0</v>
      </c>
      <c r="K21" s="29"/>
    </row>
    <row r="22" spans="1:11" x14ac:dyDescent="0.2">
      <c r="A22" s="31" t="s">
        <v>1442</v>
      </c>
      <c r="B22" s="29" t="s">
        <v>173</v>
      </c>
      <c r="C22" s="113">
        <v>16</v>
      </c>
      <c r="D22" s="29">
        <f t="shared" si="3"/>
        <v>165</v>
      </c>
      <c r="E22" s="29">
        <v>164</v>
      </c>
      <c r="F22" s="29">
        <f t="shared" si="4"/>
        <v>2624</v>
      </c>
      <c r="G22" s="29">
        <v>1</v>
      </c>
      <c r="H22" s="29">
        <f t="shared" si="2"/>
        <v>16</v>
      </c>
      <c r="I22" s="29">
        <v>0</v>
      </c>
      <c r="J22" s="29">
        <f t="shared" si="1"/>
        <v>0</v>
      </c>
      <c r="K22" s="29"/>
    </row>
    <row r="23" spans="1:11" x14ac:dyDescent="0.2">
      <c r="A23" s="31" t="s">
        <v>1442</v>
      </c>
      <c r="B23" s="29" t="s">
        <v>173</v>
      </c>
      <c r="C23" s="113">
        <v>17</v>
      </c>
      <c r="D23" s="29">
        <f t="shared" si="3"/>
        <v>98</v>
      </c>
      <c r="E23" s="29">
        <v>98</v>
      </c>
      <c r="F23" s="29">
        <f t="shared" si="4"/>
        <v>1666</v>
      </c>
      <c r="G23" s="29">
        <v>0</v>
      </c>
      <c r="H23" s="29">
        <f t="shared" si="2"/>
        <v>0</v>
      </c>
      <c r="I23" s="29">
        <v>0</v>
      </c>
      <c r="J23" s="29">
        <f t="shared" si="1"/>
        <v>0</v>
      </c>
      <c r="K23" s="29"/>
    </row>
    <row r="24" spans="1:11" x14ac:dyDescent="0.2">
      <c r="A24" s="31" t="s">
        <v>1442</v>
      </c>
      <c r="B24" s="29" t="s">
        <v>173</v>
      </c>
      <c r="C24" s="113">
        <v>18</v>
      </c>
      <c r="D24" s="29">
        <f>E24+G24+I24</f>
        <v>95</v>
      </c>
      <c r="E24" s="29">
        <v>94</v>
      </c>
      <c r="F24" s="29">
        <f>E24*C24</f>
        <v>1692</v>
      </c>
      <c r="G24" s="29">
        <v>1</v>
      </c>
      <c r="H24" s="29">
        <f t="shared" si="2"/>
        <v>18</v>
      </c>
      <c r="I24" s="29">
        <v>0</v>
      </c>
      <c r="J24" s="29">
        <f t="shared" si="1"/>
        <v>0</v>
      </c>
      <c r="K24" s="136"/>
    </row>
    <row r="25" spans="1:11" x14ac:dyDescent="0.2">
      <c r="A25" s="31" t="s">
        <v>1442</v>
      </c>
      <c r="B25" s="29" t="s">
        <v>173</v>
      </c>
      <c r="C25" s="113">
        <v>19</v>
      </c>
      <c r="D25" s="29">
        <f t="shared" si="3"/>
        <v>18</v>
      </c>
      <c r="E25" s="29">
        <v>18</v>
      </c>
      <c r="F25" s="29">
        <f t="shared" si="4"/>
        <v>342</v>
      </c>
      <c r="G25" s="29">
        <v>0</v>
      </c>
      <c r="H25" s="29">
        <f t="shared" si="2"/>
        <v>0</v>
      </c>
      <c r="I25" s="29">
        <v>0</v>
      </c>
      <c r="J25" s="29">
        <f t="shared" si="1"/>
        <v>0</v>
      </c>
      <c r="K25" s="29"/>
    </row>
    <row r="26" spans="1:11" x14ac:dyDescent="0.2">
      <c r="A26" s="31" t="s">
        <v>1442</v>
      </c>
      <c r="B26" s="29" t="s">
        <v>173</v>
      </c>
      <c r="C26" s="113">
        <v>20</v>
      </c>
      <c r="D26" s="29">
        <f t="shared" si="3"/>
        <v>12</v>
      </c>
      <c r="E26" s="29">
        <v>12</v>
      </c>
      <c r="F26" s="29">
        <f t="shared" si="4"/>
        <v>240</v>
      </c>
      <c r="G26" s="29">
        <v>0</v>
      </c>
      <c r="H26" s="29">
        <f t="shared" si="2"/>
        <v>0</v>
      </c>
      <c r="I26" s="29">
        <v>0</v>
      </c>
      <c r="J26" s="29">
        <f t="shared" si="1"/>
        <v>0</v>
      </c>
      <c r="K26" s="29"/>
    </row>
    <row r="27" spans="1:11" x14ac:dyDescent="0.2">
      <c r="A27" s="31" t="s">
        <v>1442</v>
      </c>
      <c r="B27" s="29" t="s">
        <v>173</v>
      </c>
      <c r="C27" s="113">
        <v>21</v>
      </c>
      <c r="D27" s="29">
        <f t="shared" si="3"/>
        <v>8</v>
      </c>
      <c r="E27" s="29">
        <v>8</v>
      </c>
      <c r="F27" s="29">
        <f t="shared" si="4"/>
        <v>168</v>
      </c>
      <c r="G27" s="29">
        <v>0</v>
      </c>
      <c r="H27" s="29">
        <f t="shared" si="2"/>
        <v>0</v>
      </c>
      <c r="I27" s="29">
        <v>0</v>
      </c>
      <c r="J27" s="29">
        <f t="shared" si="1"/>
        <v>0</v>
      </c>
      <c r="K27" s="29"/>
    </row>
    <row r="28" spans="1:11" x14ac:dyDescent="0.2">
      <c r="A28" s="31" t="s">
        <v>1442</v>
      </c>
      <c r="B28" s="29" t="s">
        <v>173</v>
      </c>
      <c r="C28" s="113">
        <v>22</v>
      </c>
      <c r="D28" s="29">
        <f t="shared" si="3"/>
        <v>1</v>
      </c>
      <c r="E28" s="29">
        <v>1</v>
      </c>
      <c r="F28" s="29">
        <f t="shared" si="4"/>
        <v>22</v>
      </c>
      <c r="G28" s="29">
        <v>0</v>
      </c>
      <c r="H28" s="29">
        <f t="shared" si="2"/>
        <v>0</v>
      </c>
      <c r="I28" s="29">
        <v>0</v>
      </c>
      <c r="J28" s="29">
        <f t="shared" si="1"/>
        <v>0</v>
      </c>
      <c r="K28" s="29"/>
    </row>
    <row r="29" spans="1:11" x14ac:dyDescent="0.2">
      <c r="A29" s="31" t="s">
        <v>1442</v>
      </c>
      <c r="B29" s="29" t="s">
        <v>173</v>
      </c>
      <c r="C29" s="113">
        <v>23</v>
      </c>
      <c r="D29" s="29">
        <f t="shared" si="3"/>
        <v>1</v>
      </c>
      <c r="E29" s="29">
        <v>1</v>
      </c>
      <c r="F29" s="29">
        <f t="shared" si="4"/>
        <v>23</v>
      </c>
      <c r="G29" s="29">
        <v>0</v>
      </c>
      <c r="H29" s="29">
        <f t="shared" si="2"/>
        <v>0</v>
      </c>
      <c r="I29" s="29">
        <v>0</v>
      </c>
      <c r="J29" s="29">
        <f t="shared" si="1"/>
        <v>0</v>
      </c>
      <c r="K29" s="29"/>
    </row>
    <row r="30" spans="1:11" x14ac:dyDescent="0.2">
      <c r="A30" s="31" t="s">
        <v>1442</v>
      </c>
      <c r="B30" s="29" t="s">
        <v>173</v>
      </c>
      <c r="C30" s="113">
        <v>24</v>
      </c>
      <c r="D30" s="29">
        <f t="shared" si="3"/>
        <v>0</v>
      </c>
      <c r="E30" s="29">
        <v>0</v>
      </c>
      <c r="F30" s="29">
        <f t="shared" si="4"/>
        <v>0</v>
      </c>
      <c r="G30" s="29">
        <v>0</v>
      </c>
      <c r="H30" s="29">
        <f t="shared" si="2"/>
        <v>0</v>
      </c>
      <c r="I30" s="29">
        <v>0</v>
      </c>
      <c r="J30" s="29">
        <f t="shared" si="1"/>
        <v>0</v>
      </c>
      <c r="K30" s="29"/>
    </row>
    <row r="31" spans="1:11" x14ac:dyDescent="0.2">
      <c r="A31" s="31" t="s">
        <v>1442</v>
      </c>
      <c r="B31" s="29" t="s">
        <v>173</v>
      </c>
      <c r="C31" s="113">
        <v>25</v>
      </c>
      <c r="D31" s="29">
        <f t="shared" si="3"/>
        <v>0</v>
      </c>
      <c r="E31" s="29">
        <v>0</v>
      </c>
      <c r="F31" s="29">
        <f t="shared" si="4"/>
        <v>0</v>
      </c>
      <c r="G31" s="29">
        <v>0</v>
      </c>
      <c r="H31" s="29">
        <f t="shared" si="2"/>
        <v>0</v>
      </c>
      <c r="I31" s="29">
        <v>0</v>
      </c>
      <c r="J31" s="29">
        <f t="shared" si="1"/>
        <v>0</v>
      </c>
      <c r="K31" s="29"/>
    </row>
    <row r="32" spans="1:11" x14ac:dyDescent="0.2">
      <c r="A32" s="115" t="s">
        <v>138</v>
      </c>
      <c r="B32" s="115"/>
      <c r="C32" s="115"/>
      <c r="D32" s="116">
        <f>SUM(D15:D31)</f>
        <v>2136</v>
      </c>
      <c r="E32" s="116">
        <f t="shared" ref="E32:J32" si="5">SUM(E15:E31)</f>
        <v>2022</v>
      </c>
      <c r="F32" s="116">
        <f t="shared" si="5"/>
        <v>28271</v>
      </c>
      <c r="G32" s="116">
        <f t="shared" si="5"/>
        <v>15</v>
      </c>
      <c r="H32" s="116">
        <f t="shared" si="5"/>
        <v>201</v>
      </c>
      <c r="I32" s="116">
        <f t="shared" si="5"/>
        <v>99</v>
      </c>
      <c r="J32" s="116">
        <f t="shared" si="5"/>
        <v>982</v>
      </c>
    </row>
    <row r="33" spans="1:11" x14ac:dyDescent="0.2">
      <c r="A33" s="123" t="s">
        <v>146</v>
      </c>
      <c r="B33" s="124"/>
      <c r="C33" s="124"/>
      <c r="D33" s="124"/>
      <c r="E33" s="125"/>
      <c r="F33" s="125">
        <f>F32/E32</f>
        <v>13.981701285855589</v>
      </c>
      <c r="G33" s="124"/>
      <c r="H33" s="125">
        <f>H32/G32</f>
        <v>13.4</v>
      </c>
      <c r="I33" s="124"/>
      <c r="J33" s="125">
        <f>J32/I32</f>
        <v>9.9191919191919187</v>
      </c>
    </row>
    <row r="34" spans="1:11" ht="4.9000000000000004" customHeight="1" x14ac:dyDescent="0.2">
      <c r="A34" s="121"/>
      <c r="B34" s="29"/>
      <c r="C34" s="29"/>
      <c r="D34" s="29"/>
      <c r="E34" s="122"/>
      <c r="F34" s="122"/>
      <c r="G34" s="29"/>
      <c r="H34" s="122"/>
      <c r="I34" s="29"/>
      <c r="J34" s="122"/>
    </row>
    <row r="35" spans="1:11" ht="12.75" customHeight="1" x14ac:dyDescent="0.2">
      <c r="A35" s="677" t="s">
        <v>65</v>
      </c>
      <c r="B35" s="677" t="s">
        <v>7</v>
      </c>
      <c r="C35" s="679" t="s">
        <v>137</v>
      </c>
      <c r="D35" s="681" t="s">
        <v>142</v>
      </c>
      <c r="E35" s="674" t="s">
        <v>130</v>
      </c>
      <c r="F35" s="674"/>
      <c r="G35" s="674" t="s">
        <v>144</v>
      </c>
      <c r="H35" s="674"/>
      <c r="I35" s="674" t="s">
        <v>3</v>
      </c>
      <c r="J35" s="674"/>
    </row>
    <row r="36" spans="1:11" ht="25.5" x14ac:dyDescent="0.2">
      <c r="A36" s="678"/>
      <c r="B36" s="678"/>
      <c r="C36" s="680"/>
      <c r="D36" s="682"/>
      <c r="E36" s="300" t="s">
        <v>153</v>
      </c>
      <c r="F36" s="300" t="s">
        <v>143</v>
      </c>
      <c r="G36" s="300" t="s">
        <v>153</v>
      </c>
      <c r="H36" s="300" t="s">
        <v>143</v>
      </c>
      <c r="I36" s="300" t="s">
        <v>153</v>
      </c>
      <c r="J36" s="300" t="s">
        <v>143</v>
      </c>
    </row>
    <row r="37" spans="1:11" ht="12.75" customHeight="1" x14ac:dyDescent="0.2">
      <c r="A37" s="31" t="s">
        <v>1442</v>
      </c>
      <c r="B37" s="29" t="s">
        <v>174</v>
      </c>
      <c r="C37" s="113">
        <v>0</v>
      </c>
      <c r="D37" s="29">
        <f>E37+G37+I37</f>
        <v>1</v>
      </c>
      <c r="E37" s="29">
        <v>0</v>
      </c>
      <c r="F37" s="29">
        <f>E37*C37</f>
        <v>0</v>
      </c>
      <c r="G37" s="29">
        <v>0</v>
      </c>
      <c r="H37" s="29">
        <f t="shared" ref="H37:H43" si="6">G37*C37</f>
        <v>0</v>
      </c>
      <c r="I37" s="29">
        <v>1</v>
      </c>
      <c r="J37" s="29">
        <f>I37*C37</f>
        <v>0</v>
      </c>
    </row>
    <row r="38" spans="1:11" x14ac:dyDescent="0.2">
      <c r="A38" s="31" t="s">
        <v>1442</v>
      </c>
      <c r="B38" s="29" t="s">
        <v>174</v>
      </c>
      <c r="C38" s="113">
        <v>1</v>
      </c>
      <c r="D38" s="29">
        <f>E38+G38+I38</f>
        <v>30</v>
      </c>
      <c r="E38" s="29">
        <v>6</v>
      </c>
      <c r="F38" s="29">
        <f>E38*C38</f>
        <v>6</v>
      </c>
      <c r="G38" s="29">
        <v>3</v>
      </c>
      <c r="H38" s="29">
        <f t="shared" si="6"/>
        <v>3</v>
      </c>
      <c r="I38" s="29">
        <v>21</v>
      </c>
      <c r="J38" s="29">
        <f>I38*C38</f>
        <v>21</v>
      </c>
      <c r="K38" s="29"/>
    </row>
    <row r="39" spans="1:11" x14ac:dyDescent="0.2">
      <c r="A39" s="31" t="s">
        <v>1442</v>
      </c>
      <c r="B39" s="29" t="s">
        <v>174</v>
      </c>
      <c r="C39" s="113">
        <v>2</v>
      </c>
      <c r="D39" s="29">
        <f t="shared" ref="D39:D48" si="7">E39+G39+I39</f>
        <v>12</v>
      </c>
      <c r="E39" s="29">
        <v>5</v>
      </c>
      <c r="F39" s="29">
        <f>E39*C39</f>
        <v>10</v>
      </c>
      <c r="G39" s="29">
        <v>0</v>
      </c>
      <c r="H39" s="29">
        <f t="shared" si="6"/>
        <v>0</v>
      </c>
      <c r="I39" s="29">
        <v>7</v>
      </c>
      <c r="J39" s="29">
        <f>I39*C39</f>
        <v>14</v>
      </c>
      <c r="K39" s="29"/>
    </row>
    <row r="40" spans="1:11" x14ac:dyDescent="0.2">
      <c r="A40" s="31" t="s">
        <v>1442</v>
      </c>
      <c r="B40" s="29" t="s">
        <v>174</v>
      </c>
      <c r="C40" s="113">
        <v>3</v>
      </c>
      <c r="D40" s="29">
        <f t="shared" si="7"/>
        <v>132</v>
      </c>
      <c r="E40" s="29">
        <v>76</v>
      </c>
      <c r="F40" s="29">
        <f t="shared" ref="F40:F48" si="8">E40*C40</f>
        <v>228</v>
      </c>
      <c r="G40" s="29">
        <v>12</v>
      </c>
      <c r="H40" s="29">
        <f t="shared" si="6"/>
        <v>36</v>
      </c>
      <c r="I40" s="29">
        <v>44</v>
      </c>
      <c r="J40" s="29">
        <f t="shared" ref="J40:J42" si="9">I40*C40</f>
        <v>132</v>
      </c>
      <c r="K40" s="29"/>
    </row>
    <row r="41" spans="1:11" x14ac:dyDescent="0.2">
      <c r="A41" s="31" t="s">
        <v>1442</v>
      </c>
      <c r="B41" s="29" t="s">
        <v>174</v>
      </c>
      <c r="C41" s="113">
        <v>4</v>
      </c>
      <c r="D41" s="29">
        <f t="shared" si="7"/>
        <v>53</v>
      </c>
      <c r="E41" s="29">
        <v>40</v>
      </c>
      <c r="F41" s="29">
        <f>E41*C41</f>
        <v>160</v>
      </c>
      <c r="G41" s="29">
        <v>8</v>
      </c>
      <c r="H41" s="29">
        <f t="shared" si="6"/>
        <v>32</v>
      </c>
      <c r="I41" s="29">
        <v>5</v>
      </c>
      <c r="J41" s="29">
        <f>I41*C41</f>
        <v>20</v>
      </c>
      <c r="K41" s="29"/>
    </row>
    <row r="42" spans="1:11" x14ac:dyDescent="0.2">
      <c r="A42" s="31" t="s">
        <v>1442</v>
      </c>
      <c r="B42" s="29" t="s">
        <v>174</v>
      </c>
      <c r="C42" s="113">
        <v>5</v>
      </c>
      <c r="D42" s="29">
        <f t="shared" si="7"/>
        <v>17</v>
      </c>
      <c r="E42" s="29">
        <v>12</v>
      </c>
      <c r="F42" s="29">
        <f t="shared" si="8"/>
        <v>60</v>
      </c>
      <c r="G42" s="29">
        <v>3</v>
      </c>
      <c r="H42" s="29">
        <f t="shared" si="6"/>
        <v>15</v>
      </c>
      <c r="I42" s="29">
        <v>2</v>
      </c>
      <c r="J42" s="29">
        <f t="shared" si="9"/>
        <v>10</v>
      </c>
      <c r="K42" s="29"/>
    </row>
    <row r="43" spans="1:11" x14ac:dyDescent="0.2">
      <c r="A43" s="31" t="s">
        <v>1442</v>
      </c>
      <c r="B43" s="29" t="s">
        <v>174</v>
      </c>
      <c r="C43" s="113">
        <v>6</v>
      </c>
      <c r="D43" s="29">
        <f t="shared" si="7"/>
        <v>200</v>
      </c>
      <c r="E43" s="29">
        <v>101</v>
      </c>
      <c r="F43" s="29">
        <f t="shared" si="8"/>
        <v>606</v>
      </c>
      <c r="G43" s="29">
        <v>1</v>
      </c>
      <c r="H43" s="29">
        <f t="shared" si="6"/>
        <v>6</v>
      </c>
      <c r="I43" s="29">
        <v>98</v>
      </c>
      <c r="J43" s="29">
        <f>I43*C43</f>
        <v>588</v>
      </c>
      <c r="K43" s="29"/>
    </row>
    <row r="44" spans="1:11" x14ac:dyDescent="0.2">
      <c r="A44" s="31" t="s">
        <v>1442</v>
      </c>
      <c r="B44" s="29" t="s">
        <v>174</v>
      </c>
      <c r="C44" s="113">
        <v>7</v>
      </c>
      <c r="D44" s="29">
        <f t="shared" si="7"/>
        <v>78</v>
      </c>
      <c r="E44" s="29">
        <v>63</v>
      </c>
      <c r="F44" s="29">
        <f t="shared" si="8"/>
        <v>441</v>
      </c>
      <c r="G44" s="29">
        <v>1</v>
      </c>
      <c r="H44" s="29">
        <f t="shared" ref="H44:H48" si="10">G44*C44</f>
        <v>7</v>
      </c>
      <c r="I44" s="29">
        <v>14</v>
      </c>
      <c r="J44" s="29">
        <f>I44*C44</f>
        <v>98</v>
      </c>
      <c r="K44" s="29"/>
    </row>
    <row r="45" spans="1:11" x14ac:dyDescent="0.2">
      <c r="A45" s="31" t="s">
        <v>1442</v>
      </c>
      <c r="B45" s="29" t="s">
        <v>174</v>
      </c>
      <c r="C45" s="113">
        <v>8</v>
      </c>
      <c r="D45" s="29">
        <f t="shared" si="7"/>
        <v>34</v>
      </c>
      <c r="E45" s="29">
        <v>31</v>
      </c>
      <c r="F45" s="29">
        <f t="shared" si="8"/>
        <v>248</v>
      </c>
      <c r="G45" s="29">
        <v>1</v>
      </c>
      <c r="H45" s="29">
        <f t="shared" si="10"/>
        <v>8</v>
      </c>
      <c r="I45" s="29">
        <v>2</v>
      </c>
      <c r="J45" s="29">
        <f>I45*C45</f>
        <v>16</v>
      </c>
      <c r="K45" s="29"/>
    </row>
    <row r="46" spans="1:11" x14ac:dyDescent="0.2">
      <c r="A46" s="31" t="s">
        <v>1442</v>
      </c>
      <c r="B46" s="29" t="s">
        <v>190</v>
      </c>
      <c r="C46" s="113">
        <v>9</v>
      </c>
      <c r="D46" s="29">
        <f t="shared" si="7"/>
        <v>137</v>
      </c>
      <c r="E46" s="29">
        <v>136</v>
      </c>
      <c r="F46" s="29">
        <f t="shared" si="8"/>
        <v>1224</v>
      </c>
      <c r="G46" s="29">
        <v>1</v>
      </c>
      <c r="H46" s="29">
        <f t="shared" si="10"/>
        <v>9</v>
      </c>
      <c r="I46" s="129"/>
      <c r="J46" s="130"/>
      <c r="K46" s="29"/>
    </row>
    <row r="47" spans="1:11" x14ac:dyDescent="0.2">
      <c r="A47" s="31" t="s">
        <v>1442</v>
      </c>
      <c r="B47" s="29" t="s">
        <v>190</v>
      </c>
      <c r="C47" s="113">
        <v>10</v>
      </c>
      <c r="D47" s="29">
        <f t="shared" si="7"/>
        <v>86</v>
      </c>
      <c r="E47" s="29">
        <v>86</v>
      </c>
      <c r="F47" s="29">
        <f>E47*C47</f>
        <v>860</v>
      </c>
      <c r="G47" s="29">
        <v>0</v>
      </c>
      <c r="H47" s="29">
        <f t="shared" si="10"/>
        <v>0</v>
      </c>
      <c r="I47" s="129"/>
      <c r="J47" s="130"/>
      <c r="K47" s="136"/>
    </row>
    <row r="48" spans="1:11" x14ac:dyDescent="0.2">
      <c r="A48" s="31" t="s">
        <v>1442</v>
      </c>
      <c r="B48" s="29" t="s">
        <v>190</v>
      </c>
      <c r="C48" s="113">
        <v>11</v>
      </c>
      <c r="D48" s="29">
        <f t="shared" si="7"/>
        <v>46</v>
      </c>
      <c r="E48" s="29">
        <v>46</v>
      </c>
      <c r="F48" s="29">
        <f t="shared" si="8"/>
        <v>506</v>
      </c>
      <c r="G48" s="29">
        <v>0</v>
      </c>
      <c r="H48" s="29">
        <f t="shared" si="10"/>
        <v>0</v>
      </c>
      <c r="I48" s="129"/>
      <c r="J48" s="130"/>
      <c r="K48" s="29"/>
    </row>
    <row r="49" spans="1:12" x14ac:dyDescent="0.2">
      <c r="A49" s="127" t="s">
        <v>141</v>
      </c>
      <c r="B49" s="127"/>
      <c r="C49" s="127"/>
      <c r="D49" s="127">
        <f>SUM(D37:D48)</f>
        <v>826</v>
      </c>
      <c r="E49" s="127">
        <f>SUM(E37:E48)</f>
        <v>602</v>
      </c>
      <c r="F49" s="127">
        <f>SUM(F37:F48)</f>
        <v>4349</v>
      </c>
      <c r="G49" s="127">
        <f>SUM(G37:G48)</f>
        <v>30</v>
      </c>
      <c r="H49" s="127">
        <f>SUM(H37:H48)</f>
        <v>116</v>
      </c>
      <c r="I49" s="127">
        <f t="shared" ref="I49:J49" si="11">SUM(I37:I48)</f>
        <v>194</v>
      </c>
      <c r="J49" s="127">
        <f t="shared" si="11"/>
        <v>899</v>
      </c>
    </row>
    <row r="50" spans="1:12" x14ac:dyDescent="0.2">
      <c r="A50" s="117" t="s">
        <v>145</v>
      </c>
      <c r="B50" s="115"/>
      <c r="C50" s="115"/>
      <c r="D50" s="115"/>
      <c r="E50" s="115"/>
      <c r="F50" s="118">
        <f>F49/E49</f>
        <v>7.2242524916943518</v>
      </c>
      <c r="G50" s="115"/>
      <c r="H50" s="118">
        <f>H49/G49</f>
        <v>3.8666666666666667</v>
      </c>
      <c r="I50" s="115"/>
      <c r="J50" s="118">
        <f>J49/I49</f>
        <v>4.6340206185567014</v>
      </c>
    </row>
    <row r="51" spans="1:12" ht="9" customHeight="1" x14ac:dyDescent="0.2">
      <c r="A51" s="29"/>
      <c r="B51" s="29"/>
      <c r="C51" s="29"/>
      <c r="D51" s="29"/>
      <c r="E51" s="29"/>
      <c r="F51" s="29"/>
      <c r="G51" s="29"/>
      <c r="H51" s="29"/>
      <c r="I51" s="29"/>
      <c r="J51" s="29"/>
    </row>
    <row r="52" spans="1:12" x14ac:dyDescent="0.2">
      <c r="A52" s="128" t="s">
        <v>111</v>
      </c>
      <c r="B52" s="128"/>
      <c r="C52" s="128"/>
      <c r="D52" s="180">
        <f t="shared" ref="D52:J52" si="12">D49+D32</f>
        <v>2962</v>
      </c>
      <c r="E52" s="180">
        <f t="shared" si="12"/>
        <v>2624</v>
      </c>
      <c r="F52" s="128">
        <f t="shared" si="12"/>
        <v>32620</v>
      </c>
      <c r="G52" s="128">
        <f t="shared" si="12"/>
        <v>45</v>
      </c>
      <c r="H52" s="128">
        <f t="shared" si="12"/>
        <v>317</v>
      </c>
      <c r="I52" s="128">
        <f t="shared" si="12"/>
        <v>293</v>
      </c>
      <c r="J52" s="128">
        <f t="shared" si="12"/>
        <v>1881</v>
      </c>
      <c r="L52" s="3">
        <f>F52+H52+J52</f>
        <v>34818</v>
      </c>
    </row>
    <row r="53" spans="1:12" x14ac:dyDescent="0.2">
      <c r="A53" s="119" t="s">
        <v>139</v>
      </c>
      <c r="B53" s="93"/>
      <c r="C53" s="93"/>
      <c r="D53" s="93"/>
      <c r="E53" s="93"/>
      <c r="F53" s="120">
        <f>F52/E52</f>
        <v>12.43140243902439</v>
      </c>
      <c r="G53" s="93"/>
      <c r="H53" s="120">
        <f>H52/G52</f>
        <v>7.0444444444444443</v>
      </c>
      <c r="I53" s="93"/>
      <c r="J53" s="120">
        <f>J52/I52</f>
        <v>6.4197952218430032</v>
      </c>
    </row>
    <row r="54" spans="1:12" x14ac:dyDescent="0.2">
      <c r="A54" s="29"/>
      <c r="B54" s="29"/>
      <c r="C54" s="29"/>
      <c r="D54" s="29"/>
      <c r="E54" s="29"/>
      <c r="F54" s="29"/>
      <c r="G54" s="29"/>
      <c r="H54" s="29"/>
      <c r="I54" s="29"/>
      <c r="J54" s="29"/>
    </row>
    <row r="55" spans="1:12" x14ac:dyDescent="0.2">
      <c r="A55" s="29"/>
      <c r="B55" s="29"/>
      <c r="C55" s="29"/>
      <c r="D55" s="29"/>
      <c r="E55" s="29"/>
      <c r="F55" s="29"/>
      <c r="G55" s="29"/>
      <c r="H55" s="29"/>
      <c r="I55" s="29"/>
      <c r="J55" s="29"/>
    </row>
    <row r="56" spans="1:12" x14ac:dyDescent="0.2">
      <c r="A56" s="29"/>
      <c r="B56" s="29"/>
      <c r="C56" s="29"/>
      <c r="D56" s="29"/>
      <c r="E56" s="29"/>
      <c r="F56" s="29"/>
      <c r="G56" s="29"/>
      <c r="H56" s="29"/>
      <c r="I56" s="29"/>
      <c r="J56" s="29"/>
    </row>
    <row r="57" spans="1:12" x14ac:dyDescent="0.2">
      <c r="A57" s="29"/>
      <c r="B57" s="29"/>
      <c r="C57" s="29"/>
      <c r="D57" s="29"/>
      <c r="E57" s="29"/>
      <c r="F57" s="29"/>
      <c r="G57" s="29"/>
      <c r="H57" s="29"/>
      <c r="I57" s="29"/>
      <c r="J57" s="29"/>
    </row>
    <row r="58" spans="1:12" x14ac:dyDescent="0.2">
      <c r="A58" s="29"/>
      <c r="B58" s="29"/>
      <c r="C58" s="29"/>
      <c r="D58" s="29"/>
      <c r="E58" s="29"/>
      <c r="F58" s="29"/>
      <c r="G58" s="29"/>
      <c r="H58" s="29"/>
      <c r="I58" s="29"/>
      <c r="J58" s="29"/>
    </row>
    <row r="59" spans="1:12" x14ac:dyDescent="0.2">
      <c r="A59" s="29"/>
      <c r="B59" s="29"/>
      <c r="C59" s="29"/>
      <c r="D59" s="29"/>
      <c r="E59" s="29"/>
      <c r="F59" s="29"/>
      <c r="G59" s="29"/>
      <c r="H59" s="29"/>
      <c r="I59" s="29"/>
      <c r="J59" s="29"/>
    </row>
    <row r="60" spans="1:12" x14ac:dyDescent="0.2">
      <c r="A60" s="29"/>
      <c r="B60" s="29"/>
      <c r="C60" s="29"/>
      <c r="D60" s="29"/>
      <c r="E60" s="29"/>
      <c r="F60" s="29"/>
      <c r="G60" s="29"/>
      <c r="H60" s="29"/>
      <c r="I60" s="29"/>
      <c r="J60" s="29"/>
    </row>
    <row r="61" spans="1:12" x14ac:dyDescent="0.2">
      <c r="A61" s="29"/>
      <c r="B61" s="29"/>
      <c r="C61" s="29"/>
      <c r="D61" s="29"/>
      <c r="E61" s="29"/>
      <c r="F61" s="29"/>
      <c r="G61" s="29"/>
      <c r="H61" s="29"/>
      <c r="I61" s="29"/>
      <c r="J61" s="29"/>
    </row>
    <row r="62" spans="1:12" x14ac:dyDescent="0.2">
      <c r="A62" s="29"/>
      <c r="B62" s="29"/>
      <c r="C62" s="29"/>
      <c r="D62" s="29"/>
      <c r="E62" s="29"/>
      <c r="F62" s="29"/>
      <c r="G62" s="29"/>
      <c r="H62" s="29"/>
      <c r="I62" s="29"/>
      <c r="J62" s="29"/>
    </row>
    <row r="63" spans="1:12" x14ac:dyDescent="0.2">
      <c r="A63" s="29"/>
      <c r="B63" s="29"/>
      <c r="C63" s="29"/>
      <c r="D63" s="29"/>
      <c r="E63" s="29"/>
      <c r="F63" s="29"/>
      <c r="G63" s="29"/>
      <c r="H63" s="29"/>
      <c r="I63" s="29"/>
      <c r="J63" s="29"/>
    </row>
    <row r="64" spans="1:12" x14ac:dyDescent="0.2">
      <c r="A64" s="29"/>
      <c r="B64" s="29"/>
      <c r="C64" s="29"/>
      <c r="D64" s="29"/>
      <c r="E64" s="29"/>
      <c r="F64" s="29"/>
      <c r="G64" s="29"/>
      <c r="H64" s="29"/>
      <c r="I64" s="29"/>
      <c r="J64" s="29"/>
    </row>
    <row r="65" spans="1:10" x14ac:dyDescent="0.2">
      <c r="A65" s="29"/>
      <c r="B65" s="29"/>
      <c r="C65" s="29"/>
      <c r="D65" s="29"/>
      <c r="E65" s="29"/>
      <c r="F65" s="29"/>
      <c r="G65" s="29"/>
      <c r="H65" s="29"/>
      <c r="I65" s="29"/>
      <c r="J65" s="29"/>
    </row>
    <row r="66" spans="1:10" x14ac:dyDescent="0.2">
      <c r="A66" s="29"/>
      <c r="B66" s="29"/>
      <c r="C66" s="29"/>
      <c r="D66" s="29"/>
      <c r="E66" s="29"/>
      <c r="F66" s="29"/>
      <c r="G66" s="29"/>
      <c r="H66" s="29"/>
      <c r="I66" s="29"/>
      <c r="J66" s="29"/>
    </row>
    <row r="67" spans="1:10" x14ac:dyDescent="0.2">
      <c r="A67" s="29"/>
      <c r="B67" s="29"/>
      <c r="C67" s="29"/>
      <c r="D67" s="29"/>
      <c r="E67" s="29"/>
      <c r="F67" s="29"/>
      <c r="G67" s="29"/>
      <c r="H67" s="29"/>
      <c r="I67" s="29"/>
      <c r="J67" s="29"/>
    </row>
    <row r="68" spans="1:10" x14ac:dyDescent="0.2">
      <c r="A68" s="29"/>
      <c r="B68" s="29"/>
      <c r="C68" s="29"/>
      <c r="D68" s="29"/>
      <c r="E68" s="29"/>
      <c r="F68" s="29"/>
      <c r="G68" s="29"/>
      <c r="H68" s="29"/>
      <c r="I68" s="29"/>
      <c r="J68" s="29"/>
    </row>
    <row r="69" spans="1:10" x14ac:dyDescent="0.2">
      <c r="A69" s="29"/>
      <c r="B69" s="29"/>
      <c r="C69" s="29"/>
      <c r="D69" s="29"/>
      <c r="E69" s="29"/>
      <c r="F69" s="29"/>
      <c r="G69" s="29"/>
      <c r="H69" s="29"/>
      <c r="I69" s="29"/>
      <c r="J69" s="29"/>
    </row>
    <row r="70" spans="1:10" x14ac:dyDescent="0.2">
      <c r="A70" s="29"/>
      <c r="B70" s="29"/>
      <c r="C70" s="29"/>
      <c r="D70" s="29"/>
      <c r="E70" s="29"/>
      <c r="F70" s="29"/>
      <c r="G70" s="29"/>
      <c r="H70" s="29"/>
      <c r="I70" s="29"/>
      <c r="J70" s="29"/>
    </row>
    <row r="71" spans="1:10" x14ac:dyDescent="0.2">
      <c r="A71" s="29"/>
      <c r="B71" s="29"/>
      <c r="C71" s="29"/>
      <c r="D71" s="29"/>
      <c r="E71" s="29"/>
      <c r="F71" s="29"/>
      <c r="G71" s="29"/>
      <c r="H71" s="29"/>
      <c r="I71" s="29"/>
      <c r="J71" s="29"/>
    </row>
    <row r="72" spans="1:10" x14ac:dyDescent="0.2">
      <c r="A72" s="29"/>
      <c r="B72" s="29"/>
      <c r="C72" s="29"/>
      <c r="D72" s="29"/>
      <c r="E72" s="29"/>
      <c r="F72" s="29"/>
      <c r="G72" s="29"/>
      <c r="H72" s="29"/>
      <c r="I72" s="29"/>
      <c r="J72" s="29"/>
    </row>
    <row r="73" spans="1:10" x14ac:dyDescent="0.2">
      <c r="A73" s="29"/>
      <c r="B73" s="29"/>
      <c r="C73" s="29"/>
      <c r="D73" s="29"/>
      <c r="E73" s="29"/>
      <c r="F73" s="29"/>
      <c r="G73" s="29"/>
      <c r="H73" s="29"/>
      <c r="I73" s="29"/>
      <c r="J73" s="29"/>
    </row>
    <row r="74" spans="1:10" x14ac:dyDescent="0.2">
      <c r="A74" s="29"/>
      <c r="B74" s="29"/>
      <c r="C74" s="29"/>
      <c r="D74" s="29"/>
      <c r="E74" s="29"/>
      <c r="F74" s="29"/>
      <c r="G74" s="29"/>
      <c r="H74" s="29"/>
      <c r="I74" s="29"/>
      <c r="J74" s="29"/>
    </row>
    <row r="75" spans="1:10" x14ac:dyDescent="0.2">
      <c r="A75" s="29"/>
      <c r="B75" s="29"/>
      <c r="C75" s="29"/>
      <c r="D75" s="29"/>
      <c r="E75" s="29"/>
      <c r="F75" s="29"/>
      <c r="G75" s="29"/>
      <c r="H75" s="29"/>
      <c r="I75" s="29"/>
      <c r="J75" s="29"/>
    </row>
    <row r="76" spans="1:10" x14ac:dyDescent="0.2">
      <c r="A76" s="29"/>
      <c r="B76" s="29"/>
      <c r="C76" s="29"/>
      <c r="D76" s="29"/>
      <c r="E76" s="29"/>
      <c r="F76" s="29"/>
      <c r="G76" s="29"/>
      <c r="H76" s="29"/>
      <c r="I76" s="29"/>
      <c r="J76" s="29"/>
    </row>
    <row r="77" spans="1:10" x14ac:dyDescent="0.2">
      <c r="A77" s="29"/>
      <c r="B77" s="29"/>
      <c r="C77" s="29"/>
      <c r="D77" s="29"/>
      <c r="E77" s="29"/>
      <c r="F77" s="29"/>
      <c r="G77" s="29"/>
      <c r="H77" s="29"/>
      <c r="I77" s="29"/>
      <c r="J77" s="29"/>
    </row>
    <row r="78" spans="1:10" x14ac:dyDescent="0.2">
      <c r="A78" s="29"/>
      <c r="B78" s="29"/>
      <c r="C78" s="29"/>
      <c r="D78" s="29"/>
      <c r="E78" s="29"/>
      <c r="F78" s="29"/>
      <c r="G78" s="29"/>
      <c r="H78" s="29"/>
      <c r="I78" s="29"/>
      <c r="J78" s="29"/>
    </row>
    <row r="79" spans="1:10" x14ac:dyDescent="0.2">
      <c r="A79" s="29"/>
      <c r="B79" s="29"/>
      <c r="C79" s="29"/>
      <c r="D79" s="29"/>
      <c r="E79" s="29"/>
      <c r="F79" s="29"/>
      <c r="G79" s="29"/>
      <c r="H79" s="29"/>
      <c r="I79" s="29"/>
      <c r="J79" s="29"/>
    </row>
    <row r="80" spans="1:10" x14ac:dyDescent="0.2">
      <c r="A80" s="29"/>
      <c r="B80" s="29"/>
      <c r="C80" s="29"/>
      <c r="D80" s="29"/>
      <c r="E80" s="29"/>
      <c r="F80" s="29"/>
      <c r="G80" s="29"/>
      <c r="H80" s="29"/>
      <c r="I80" s="29"/>
      <c r="J80" s="29"/>
    </row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2" spans="1:10" x14ac:dyDescent="0.2">
      <c r="A82" s="29"/>
      <c r="B82" s="29"/>
      <c r="C82" s="29"/>
      <c r="D82" s="29"/>
      <c r="E82" s="29"/>
      <c r="F82" s="29"/>
      <c r="G82" s="29"/>
      <c r="H82" s="29"/>
      <c r="I82" s="29"/>
      <c r="J82" s="29"/>
    </row>
    <row r="83" spans="1:10" x14ac:dyDescent="0.2">
      <c r="A83" s="29"/>
      <c r="B83" s="29"/>
      <c r="C83" s="29"/>
      <c r="D83" s="29"/>
      <c r="E83" s="29"/>
      <c r="F83" s="29"/>
      <c r="G83" s="29"/>
      <c r="H83" s="29"/>
      <c r="I83" s="29"/>
      <c r="J83" s="29"/>
    </row>
    <row r="84" spans="1:10" x14ac:dyDescent="0.2">
      <c r="A84" s="29"/>
      <c r="B84" s="29"/>
      <c r="C84" s="29"/>
      <c r="D84" s="29"/>
      <c r="E84" s="29"/>
      <c r="F84" s="29"/>
      <c r="G84" s="29"/>
      <c r="H84" s="29"/>
      <c r="I84" s="29"/>
      <c r="J84" s="29"/>
    </row>
    <row r="85" spans="1:10" x14ac:dyDescent="0.2">
      <c r="A85" s="29"/>
      <c r="B85" s="29"/>
      <c r="C85" s="29"/>
      <c r="D85" s="29"/>
      <c r="E85" s="29"/>
      <c r="F85" s="29"/>
      <c r="G85" s="29"/>
      <c r="H85" s="29"/>
      <c r="I85" s="29"/>
      <c r="J85" s="29"/>
    </row>
    <row r="86" spans="1:10" x14ac:dyDescent="0.2">
      <c r="A86" s="29"/>
      <c r="B86" s="29"/>
      <c r="C86" s="29"/>
      <c r="D86" s="29"/>
      <c r="E86" s="29"/>
      <c r="F86" s="29"/>
      <c r="G86" s="29"/>
      <c r="H86" s="29"/>
      <c r="I86" s="29"/>
      <c r="J86" s="29"/>
    </row>
    <row r="87" spans="1:10" x14ac:dyDescent="0.2">
      <c r="A87" s="29"/>
      <c r="B87" s="29"/>
      <c r="C87" s="29"/>
      <c r="D87" s="29"/>
      <c r="E87" s="29"/>
      <c r="F87" s="29"/>
      <c r="G87" s="29"/>
      <c r="H87" s="29"/>
      <c r="I87" s="29"/>
      <c r="J87" s="29"/>
    </row>
    <row r="88" spans="1:10" x14ac:dyDescent="0.2">
      <c r="A88" s="29"/>
      <c r="B88" s="29"/>
      <c r="C88" s="29"/>
      <c r="D88" s="29"/>
      <c r="E88" s="29"/>
      <c r="F88" s="29"/>
      <c r="G88" s="29"/>
      <c r="H88" s="29"/>
      <c r="I88" s="29"/>
      <c r="J88" s="29"/>
    </row>
    <row r="89" spans="1:10" x14ac:dyDescent="0.2">
      <c r="A89" s="29"/>
      <c r="B89" s="29"/>
      <c r="C89" s="29"/>
      <c r="D89" s="29"/>
      <c r="E89" s="29"/>
      <c r="F89" s="29"/>
      <c r="G89" s="29"/>
      <c r="H89" s="29"/>
      <c r="I89" s="29"/>
      <c r="J89" s="29"/>
    </row>
    <row r="90" spans="1:10" x14ac:dyDescent="0.2">
      <c r="A90" s="29"/>
      <c r="B90" s="29"/>
      <c r="C90" s="29"/>
      <c r="D90" s="29"/>
      <c r="E90" s="29"/>
      <c r="F90" s="29"/>
      <c r="G90" s="29"/>
      <c r="H90" s="29"/>
      <c r="I90" s="29"/>
      <c r="J90" s="29"/>
    </row>
    <row r="91" spans="1:10" x14ac:dyDescent="0.2">
      <c r="A91" s="29"/>
      <c r="B91" s="29"/>
      <c r="C91" s="29"/>
      <c r="D91" s="29"/>
      <c r="E91" s="29"/>
      <c r="F91" s="29"/>
      <c r="G91" s="29"/>
      <c r="H91" s="29"/>
      <c r="I91" s="29"/>
      <c r="J91" s="29"/>
    </row>
    <row r="92" spans="1:10" x14ac:dyDescent="0.2">
      <c r="A92" s="29"/>
      <c r="B92" s="29"/>
      <c r="C92" s="29"/>
      <c r="D92" s="29"/>
      <c r="E92" s="29"/>
      <c r="F92" s="29"/>
      <c r="G92" s="29"/>
      <c r="H92" s="29"/>
      <c r="I92" s="29"/>
      <c r="J92" s="29"/>
    </row>
    <row r="93" spans="1:10" x14ac:dyDescent="0.2">
      <c r="A93" s="29"/>
      <c r="B93" s="29"/>
      <c r="C93" s="29"/>
      <c r="D93" s="29"/>
      <c r="E93" s="29"/>
      <c r="F93" s="29"/>
      <c r="G93" s="29"/>
      <c r="H93" s="29"/>
      <c r="I93" s="29"/>
      <c r="J93" s="29"/>
    </row>
    <row r="94" spans="1:10" x14ac:dyDescent="0.2">
      <c r="A94" s="29"/>
      <c r="B94" s="29"/>
      <c r="C94" s="29"/>
      <c r="D94" s="29"/>
      <c r="E94" s="29"/>
      <c r="F94" s="29"/>
      <c r="G94" s="29"/>
      <c r="H94" s="29"/>
      <c r="I94" s="29"/>
      <c r="J94" s="29"/>
    </row>
    <row r="95" spans="1:10" x14ac:dyDescent="0.2">
      <c r="A95" s="29"/>
      <c r="B95" s="29"/>
      <c r="C95" s="29"/>
      <c r="D95" s="29"/>
      <c r="E95" s="29"/>
      <c r="F95" s="29"/>
      <c r="G95" s="29"/>
      <c r="H95" s="29"/>
      <c r="I95" s="29"/>
      <c r="J95" s="29"/>
    </row>
    <row r="96" spans="1:10" x14ac:dyDescent="0.2">
      <c r="A96" s="29"/>
      <c r="B96" s="29"/>
      <c r="C96" s="29"/>
      <c r="D96" s="29"/>
      <c r="E96" s="29"/>
      <c r="F96" s="29"/>
      <c r="G96" s="29"/>
      <c r="H96" s="29"/>
      <c r="I96" s="29"/>
      <c r="J96" s="29"/>
    </row>
    <row r="97" spans="1:10" x14ac:dyDescent="0.2">
      <c r="A97" s="29"/>
      <c r="B97" s="29"/>
      <c r="C97" s="29"/>
      <c r="D97" s="29"/>
      <c r="E97" s="29"/>
      <c r="F97" s="29"/>
      <c r="G97" s="29"/>
      <c r="H97" s="29"/>
      <c r="I97" s="29"/>
      <c r="J97" s="29"/>
    </row>
    <row r="98" spans="1:10" x14ac:dyDescent="0.2">
      <c r="A98" s="29"/>
      <c r="B98" s="29"/>
      <c r="C98" s="29"/>
      <c r="D98" s="29"/>
      <c r="E98" s="29"/>
      <c r="F98" s="29"/>
      <c r="G98" s="29"/>
      <c r="H98" s="29"/>
      <c r="I98" s="29"/>
      <c r="J98" s="29"/>
    </row>
    <row r="99" spans="1:10" x14ac:dyDescent="0.2">
      <c r="A99" s="29"/>
      <c r="B99" s="29"/>
      <c r="C99" s="29"/>
      <c r="D99" s="29"/>
      <c r="E99" s="29"/>
      <c r="F99" s="29"/>
      <c r="G99" s="29"/>
      <c r="H99" s="29"/>
      <c r="I99" s="29"/>
      <c r="J99" s="29"/>
    </row>
    <row r="100" spans="1:10" x14ac:dyDescent="0.2">
      <c r="A100" s="29"/>
      <c r="B100" s="29"/>
      <c r="C100" s="29"/>
      <c r="D100" s="29"/>
      <c r="E100" s="29"/>
      <c r="F100" s="29"/>
      <c r="G100" s="29"/>
      <c r="H100" s="29"/>
      <c r="I100" s="29"/>
      <c r="J100" s="29"/>
    </row>
    <row r="101" spans="1:10" x14ac:dyDescent="0.2">
      <c r="A101" s="29"/>
      <c r="B101" s="29"/>
      <c r="C101" s="29"/>
      <c r="D101" s="29"/>
      <c r="E101" s="29"/>
      <c r="F101" s="29"/>
      <c r="G101" s="29"/>
      <c r="H101" s="29"/>
      <c r="I101" s="29"/>
      <c r="J101" s="29"/>
    </row>
  </sheetData>
  <mergeCells count="20">
    <mergeCell ref="C6:C7"/>
    <mergeCell ref="A6:A7"/>
    <mergeCell ref="B6:B7"/>
    <mergeCell ref="E6:H6"/>
    <mergeCell ref="A5:H5"/>
    <mergeCell ref="D6:D7"/>
    <mergeCell ref="I35:J35"/>
    <mergeCell ref="I13:J13"/>
    <mergeCell ref="A13:A14"/>
    <mergeCell ref="B13:B14"/>
    <mergeCell ref="C13:C14"/>
    <mergeCell ref="D13:D14"/>
    <mergeCell ref="A35:A36"/>
    <mergeCell ref="B35:B36"/>
    <mergeCell ref="C35:C36"/>
    <mergeCell ref="D35:D36"/>
    <mergeCell ref="E35:F35"/>
    <mergeCell ref="E13:F13"/>
    <mergeCell ref="G13:H13"/>
    <mergeCell ref="G35:H35"/>
  </mergeCells>
  <phoneticPr fontId="0" type="noConversion"/>
  <hyperlinks>
    <hyperlink ref="F1" location="'Table of Contents'!A1" display="Back to Table Of Contents" xr:uid="{00000000-0004-0000-0600-000000000000}"/>
  </hyperlinks>
  <pageMargins left="0.5" right="0.5" top="0.5" bottom="0.5" header="0.5" footer="0.25"/>
  <pageSetup orientation="portrait" r:id="rId1"/>
  <headerFooter alignWithMargins="0">
    <oddHeader>&amp;ROctober 2022</oddHeader>
    <oddFooter>&amp;CPage &amp;P of &amp;N&amp;R&amp;8&amp;F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16</vt:i4>
      </vt:variant>
    </vt:vector>
  </HeadingPairs>
  <TitlesOfParts>
    <vt:vector size="35" baseType="lpstr">
      <vt:lpstr>Table of Contents</vt:lpstr>
      <vt:lpstr>1-Res_NonRes</vt:lpstr>
      <vt:lpstr>2- Headcount &amp; CR</vt:lpstr>
      <vt:lpstr>3-Majors</vt:lpstr>
      <vt:lpstr>4-MajorsEthnic</vt:lpstr>
      <vt:lpstr>5-Majors by Track</vt:lpstr>
      <vt:lpstr>6-MajorsEthnic by Track</vt:lpstr>
      <vt:lpstr>7-Ethnic_Gender</vt:lpstr>
      <vt:lpstr>8-FTPT</vt:lpstr>
      <vt:lpstr>9-Prev_HS</vt:lpstr>
      <vt:lpstr>10-New Students</vt:lpstr>
      <vt:lpstr>11-Cr Hr PROD Summary</vt:lpstr>
      <vt:lpstr>12-Cr Hr PROD</vt:lpstr>
      <vt:lpstr>13-DoubleMajors</vt:lpstr>
      <vt:lpstr>14-DoubleMajorsEthnic</vt:lpstr>
      <vt:lpstr>15a-RetentionFTFR</vt:lpstr>
      <vt:lpstr>15b-RetentionFTFR</vt:lpstr>
      <vt:lpstr>16a-RetentionTransfer</vt:lpstr>
      <vt:lpstr>16b-RetentionTransfer</vt:lpstr>
      <vt:lpstr>'15a-RetentionFTFR'!Print_Area</vt:lpstr>
      <vt:lpstr>'15b-RetentionFTFR'!Print_Area</vt:lpstr>
      <vt:lpstr>'1-Res_NonRes'!Print_Area</vt:lpstr>
      <vt:lpstr>'2- Headcount &amp; CR'!Print_Area</vt:lpstr>
      <vt:lpstr>'3-Majors'!Print_Area</vt:lpstr>
      <vt:lpstr>'5-Majors by Track'!Print_Area</vt:lpstr>
      <vt:lpstr>'8-FTPT'!Print_Area</vt:lpstr>
      <vt:lpstr>'11-Cr Hr PROD Summary'!Print_Titles</vt:lpstr>
      <vt:lpstr>'12-Cr Hr PROD'!Print_Titles</vt:lpstr>
      <vt:lpstr>'13-DoubleMajors'!Print_Titles</vt:lpstr>
      <vt:lpstr>'14-DoubleMajorsEthnic'!Print_Titles</vt:lpstr>
      <vt:lpstr>'3-Majors'!Print_Titles</vt:lpstr>
      <vt:lpstr>'4-MajorsEthnic'!Print_Titles</vt:lpstr>
      <vt:lpstr>'5-Majors by Track'!Print_Titles</vt:lpstr>
      <vt:lpstr>'6-MajorsEthnic by Track'!Print_Titles</vt:lpstr>
      <vt:lpstr>'9-Prev_HS'!Print_Titles</vt:lpstr>
    </vt:vector>
  </TitlesOfParts>
  <Company>University of Guam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MR. MARK JOSEPH A. BURGOS</cp:lastModifiedBy>
  <cp:lastPrinted>2021-11-05T06:15:47Z</cp:lastPrinted>
  <dcterms:created xsi:type="dcterms:W3CDTF">2001-05-17T03:40:32Z</dcterms:created>
  <dcterms:modified xsi:type="dcterms:W3CDTF">2022-10-27T23:34:13Z</dcterms:modified>
</cp:coreProperties>
</file>